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Gambit Comparison Sheet" sheetId="1" r:id="rId1"/>
    <sheet name="Traits" sheetId="4" r:id="rId2"/>
    <sheet name="Instructions" sheetId="5" r:id="rId3"/>
    <sheet name="LvlData" sheetId="3" r:id="rId4"/>
  </sheets>
  <definedNames>
    <definedName name="_xlnm._FilterDatabase" localSheetId="0" hidden="1">'Gambit Comparison Sheet'!$H$2:$V$93</definedName>
    <definedName name="AKeenResponse">Traits!$B$31</definedName>
    <definedName name="BrinkofVictoryDD">LvlData!$A$52</definedName>
    <definedName name="BrinkofVictoryDoT">LvlData!$A$53</definedName>
    <definedName name="BrinkofVictoryPwr">LvlData!$A$55</definedName>
    <definedName name="BrinkofVictoryT">LvlData!$A$54</definedName>
    <definedName name="CombStrikeDD">LvlData!$A$56</definedName>
    <definedName name="CombStrikePwr">LvlData!$A$58</definedName>
    <definedName name="CombStrikeT">LvlData!$A$57</definedName>
    <definedName name="Confidence">Traits!$A$31</definedName>
    <definedName name="DefensiveStrikeDD">LvlData!$A$11</definedName>
    <definedName name="DefensiveStrikePwr">LvlData!$A$12</definedName>
    <definedName name="DeftStrikeDD">LvlData!$A$9</definedName>
    <definedName name="DeftStrikePwr">LvlData!$A$10</definedName>
    <definedName name="EfficientShieldwork">Traits!$B$21</definedName>
    <definedName name="EfficientThrust">Traits!$B$8</definedName>
    <definedName name="FierceResolveDoT">LvlData!$A$59</definedName>
    <definedName name="FierceResolveHoT">LvlData!$A$60</definedName>
    <definedName name="FierceResolvePwr">LvlData!$A$61</definedName>
    <definedName name="GoadDD">LvlData!$A$15</definedName>
    <definedName name="GoadDoT">LvlData!$A$16</definedName>
    <definedName name="GoadPwr">LvlData!$A$19</definedName>
    <definedName name="GoadT">LvlData!$A$17</definedName>
    <definedName name="GoadToT">LvlData!$A$18</definedName>
    <definedName name="ImpFlourishDD">LvlData!$A$26</definedName>
    <definedName name="ImpFlourishDoT">LvlData!$A$27</definedName>
    <definedName name="ImpFlourishH">LvlData!$A$28</definedName>
    <definedName name="ImpFlourishHoT">LvlData!$A$29</definedName>
    <definedName name="ImpFlourishPwr">LvlData!$A$30</definedName>
    <definedName name="Level">'Gambit Comparison Sheet'!$A$1</definedName>
    <definedName name="LevelList">LvlData!$B$1:$BI$1</definedName>
    <definedName name="MadStrikeDD">LvlData!$A$44</definedName>
    <definedName name="MadStrikePwr">LvlData!$A$46</definedName>
    <definedName name="MadStrikeT">LvlData!$A$45</definedName>
    <definedName name="MainHandDmg">'Gambit Comparison Sheet'!$A$2</definedName>
    <definedName name="NeverSayDie">Traits!$A$21</definedName>
    <definedName name="OffensiveStrikePwr">LvlData!$A$25</definedName>
    <definedName name="OffensiveStrikeT">LvlData!$A$24</definedName>
    <definedName name="OnslaughtPwr">LvlData!$A$62</definedName>
    <definedName name="Perserverance">Traits!$C$18</definedName>
    <definedName name="PersevereDD">LvlData!$A$20</definedName>
    <definedName name="PersevereH">LvlData!$A$21</definedName>
    <definedName name="PersevereHoT">LvlData!$A$22</definedName>
    <definedName name="PerseverePwr">LvlData!$A$23</definedName>
    <definedName name="PiercingStrikeDD">LvlData!$A$63</definedName>
    <definedName name="PiercingStrikePwr">LvlData!$A$65</definedName>
    <definedName name="PiercingStrikeT">LvlData!$A$64</definedName>
    <definedName name="PowerAttackDD">LvlData!$A$41</definedName>
    <definedName name="PowerAttackDoT">LvlData!$A$42</definedName>
    <definedName name="PowerAttackPwr">LvlData!$A$43</definedName>
    <definedName name="PreciseBlowDD">LvlData!$A$31</definedName>
    <definedName name="PreciseBlowPwr">LvlData!$A$34</definedName>
    <definedName name="PreciseBlowT">LvlData!$A$32</definedName>
    <definedName name="PreciseBlowToT">LvlData!$A$33</definedName>
    <definedName name="QuickThrustPwr">LvlData!$A$2</definedName>
    <definedName name="SafeguardDD">LvlData!$A$47</definedName>
    <definedName name="SafeguardH">LvlData!$A$48</definedName>
    <definedName name="SafeguardHoT">LvlData!$A$49</definedName>
    <definedName name="SafeguardPwr">LvlData!$A$50</definedName>
    <definedName name="ShieldBashDD">LvlData!$A$3</definedName>
    <definedName name="ShieldBashPwr">LvlData!$A$4</definedName>
    <definedName name="ShieldUpPwr">LvlData!$A$51</definedName>
    <definedName name="TerribleVisage">Traits!$D$28</definedName>
    <definedName name="TheBootDD">LvlData!$A$13</definedName>
    <definedName name="TheBootPwr">LvlData!$A$14</definedName>
    <definedName name="Veteran">Traits!$D$8</definedName>
    <definedName name="WarCryDoT">LvlData!$A$35</definedName>
    <definedName name="WarCryH">LvlData!$A$38</definedName>
    <definedName name="WarCryHoT">LvlData!$A$39</definedName>
    <definedName name="WarCryPwr">LvlData!$A$40</definedName>
    <definedName name="WarCryT">LvlData!$A$36</definedName>
    <definedName name="WarCryToT">LvlData!$A$37</definedName>
    <definedName name="WardensTauntDD">LvlData!$A$5</definedName>
    <definedName name="WardensTauntDoT">LvlData!$A$6</definedName>
    <definedName name="WardensTauntPwr">LvlData!$A$8</definedName>
    <definedName name="WardensTauntT">LvlData!$A$7</definedName>
    <definedName name="WayoftheFist2">Traits!$F$26</definedName>
    <definedName name="WayoftheFist3">Traits!$F$27</definedName>
    <definedName name="WayoftheFist4">Traits!$F$28</definedName>
    <definedName name="WayoftheShield4">Traits!$F$18</definedName>
    <definedName name="WayoftheSpear2">Traits!$F$6</definedName>
    <definedName name="WayoftheSpear4">Traits!$F$8</definedName>
  </definedNames>
  <calcPr calcId="125725"/>
</workbook>
</file>

<file path=xl/calcChain.xml><?xml version="1.0" encoding="utf-8"?>
<calcChain xmlns="http://schemas.openxmlformats.org/spreadsheetml/2006/main">
  <c r="C1" i="4"/>
  <c r="C2"/>
  <c r="F6"/>
  <c r="F7"/>
  <c r="F8"/>
  <c r="F16"/>
  <c r="F17"/>
  <c r="F18"/>
  <c r="F26"/>
  <c r="F27"/>
  <c r="F28"/>
  <c r="H3" i="1"/>
  <c r="I3"/>
  <c r="K3"/>
  <c r="M3" s="1"/>
  <c r="P3"/>
  <c r="Q3"/>
  <c r="R3"/>
  <c r="H4"/>
  <c r="I4"/>
  <c r="K4"/>
  <c r="M4" s="1"/>
  <c r="P4"/>
  <c r="Q4"/>
  <c r="R4"/>
  <c r="H5"/>
  <c r="I5"/>
  <c r="K5"/>
  <c r="M5" s="1"/>
  <c r="P5"/>
  <c r="Q5"/>
  <c r="R5"/>
  <c r="H6"/>
  <c r="I6"/>
  <c r="K6"/>
  <c r="L6"/>
  <c r="P6"/>
  <c r="Q6"/>
  <c r="R6"/>
  <c r="H7"/>
  <c r="I7"/>
  <c r="K7"/>
  <c r="L7"/>
  <c r="P7"/>
  <c r="Q7"/>
  <c r="R7"/>
  <c r="H8"/>
  <c r="I8"/>
  <c r="K8"/>
  <c r="L8"/>
  <c r="P8"/>
  <c r="Q8"/>
  <c r="R8"/>
  <c r="H9"/>
  <c r="I9"/>
  <c r="K9"/>
  <c r="L9"/>
  <c r="P9"/>
  <c r="Q9"/>
  <c r="R9"/>
  <c r="H10"/>
  <c r="I10"/>
  <c r="K10"/>
  <c r="L10"/>
  <c r="P10"/>
  <c r="Q10"/>
  <c r="R10"/>
  <c r="H11"/>
  <c r="I11"/>
  <c r="K11"/>
  <c r="L11"/>
  <c r="P11"/>
  <c r="Q11"/>
  <c r="R11"/>
  <c r="H12"/>
  <c r="I12"/>
  <c r="K12"/>
  <c r="M12" s="1"/>
  <c r="N12"/>
  <c r="O12"/>
  <c r="Q12"/>
  <c r="R12"/>
  <c r="H13"/>
  <c r="I13"/>
  <c r="K13"/>
  <c r="M13" s="1"/>
  <c r="P13"/>
  <c r="Q13"/>
  <c r="R13"/>
  <c r="H14"/>
  <c r="I14"/>
  <c r="K14"/>
  <c r="M14" s="1"/>
  <c r="N14"/>
  <c r="O14"/>
  <c r="Q14"/>
  <c r="R14"/>
  <c r="H15"/>
  <c r="I15"/>
  <c r="K15"/>
  <c r="L15"/>
  <c r="P15"/>
  <c r="Q15"/>
  <c r="R15"/>
  <c r="H16"/>
  <c r="I16"/>
  <c r="K16"/>
  <c r="L16"/>
  <c r="N16"/>
  <c r="O16"/>
  <c r="Q16"/>
  <c r="R16"/>
  <c r="H17"/>
  <c r="I17"/>
  <c r="K17"/>
  <c r="L17"/>
  <c r="N17"/>
  <c r="O17"/>
  <c r="Q17"/>
  <c r="R17"/>
  <c r="H18"/>
  <c r="I18"/>
  <c r="K18"/>
  <c r="L18"/>
  <c r="N18"/>
  <c r="O18"/>
  <c r="Q18"/>
  <c r="R18"/>
  <c r="H19"/>
  <c r="I19"/>
  <c r="K19"/>
  <c r="L19"/>
  <c r="N19"/>
  <c r="O19"/>
  <c r="Q19"/>
  <c r="R19"/>
  <c r="H20"/>
  <c r="I20"/>
  <c r="K20"/>
  <c r="L20"/>
  <c r="N20"/>
  <c r="O20"/>
  <c r="Q20"/>
  <c r="R20"/>
  <c r="H21"/>
  <c r="I21"/>
  <c r="K21"/>
  <c r="L21"/>
  <c r="N21"/>
  <c r="O21"/>
  <c r="Q21"/>
  <c r="R21"/>
  <c r="H22"/>
  <c r="I22"/>
  <c r="K22"/>
  <c r="L22"/>
  <c r="N22"/>
  <c r="O22"/>
  <c r="Q22"/>
  <c r="R22"/>
  <c r="H23"/>
  <c r="I23"/>
  <c r="K23"/>
  <c r="L23"/>
  <c r="N23"/>
  <c r="O23"/>
  <c r="Q23"/>
  <c r="R23"/>
  <c r="H24"/>
  <c r="I24"/>
  <c r="K24"/>
  <c r="L24"/>
  <c r="N24"/>
  <c r="O24"/>
  <c r="Q24"/>
  <c r="R24"/>
  <c r="H25"/>
  <c r="I25"/>
  <c r="K25"/>
  <c r="L25"/>
  <c r="N25"/>
  <c r="O25"/>
  <c r="Q25"/>
  <c r="R25"/>
  <c r="H26"/>
  <c r="I26"/>
  <c r="K26"/>
  <c r="M26" s="1"/>
  <c r="P26"/>
  <c r="Q26"/>
  <c r="R26"/>
  <c r="H33"/>
  <c r="I33"/>
  <c r="K33"/>
  <c r="M33" s="1"/>
  <c r="N33"/>
  <c r="O33"/>
  <c r="Q33"/>
  <c r="R33"/>
  <c r="H34"/>
  <c r="I34"/>
  <c r="K34"/>
  <c r="M34" s="1"/>
  <c r="P34"/>
  <c r="Q34"/>
  <c r="R34"/>
  <c r="H35"/>
  <c r="I35"/>
  <c r="K35"/>
  <c r="M35" s="1"/>
  <c r="P35"/>
  <c r="Q35"/>
  <c r="R35"/>
  <c r="H36"/>
  <c r="I36"/>
  <c r="K36"/>
  <c r="M36" s="1"/>
  <c r="P36"/>
  <c r="Q36"/>
  <c r="R36"/>
  <c r="H37"/>
  <c r="I37"/>
  <c r="K37"/>
  <c r="M37" s="1"/>
  <c r="O37"/>
  <c r="P37" s="1"/>
  <c r="Q37"/>
  <c r="R37"/>
  <c r="H38"/>
  <c r="I38"/>
  <c r="K38"/>
  <c r="M38" s="1"/>
  <c r="O38"/>
  <c r="P38" s="1"/>
  <c r="Q38"/>
  <c r="R38"/>
  <c r="H39"/>
  <c r="I39"/>
  <c r="K39"/>
  <c r="M39" s="1"/>
  <c r="O39"/>
  <c r="P39" s="1"/>
  <c r="Q39"/>
  <c r="R39"/>
  <c r="H40"/>
  <c r="I40"/>
  <c r="K40"/>
  <c r="M40" s="1"/>
  <c r="O40"/>
  <c r="P40" s="1"/>
  <c r="Q40"/>
  <c r="R40"/>
  <c r="H41"/>
  <c r="I41"/>
  <c r="K41"/>
  <c r="M41" s="1"/>
  <c r="O41"/>
  <c r="P41" s="1"/>
  <c r="Q41"/>
  <c r="R41"/>
  <c r="H42"/>
  <c r="I42"/>
  <c r="K42"/>
  <c r="M42" s="1"/>
  <c r="O42"/>
  <c r="P42" s="1"/>
  <c r="Q42"/>
  <c r="R42"/>
  <c r="H43"/>
  <c r="I43"/>
  <c r="K43"/>
  <c r="M43" s="1"/>
  <c r="O43"/>
  <c r="P43" s="1"/>
  <c r="Q43"/>
  <c r="R43"/>
  <c r="H44"/>
  <c r="I44"/>
  <c r="K44"/>
  <c r="M44" s="1"/>
  <c r="O44"/>
  <c r="P44" s="1"/>
  <c r="Q44"/>
  <c r="R44"/>
  <c r="H45"/>
  <c r="I45"/>
  <c r="K45"/>
  <c r="M45" s="1"/>
  <c r="P45"/>
  <c r="Q45"/>
  <c r="R45"/>
  <c r="H27"/>
  <c r="I27"/>
  <c r="K27"/>
  <c r="M27" s="1"/>
  <c r="P27"/>
  <c r="Q27"/>
  <c r="R27"/>
  <c r="H28"/>
  <c r="I28"/>
  <c r="K28"/>
  <c r="M28" s="1"/>
  <c r="P28"/>
  <c r="Q28"/>
  <c r="R28"/>
  <c r="H29"/>
  <c r="I29"/>
  <c r="K29"/>
  <c r="M29" s="1"/>
  <c r="P29"/>
  <c r="Q29"/>
  <c r="R29"/>
  <c r="H30"/>
  <c r="I30"/>
  <c r="K30"/>
  <c r="M30" s="1"/>
  <c r="P30"/>
  <c r="Q30"/>
  <c r="R30"/>
  <c r="H31"/>
  <c r="I31"/>
  <c r="K31"/>
  <c r="M31" s="1"/>
  <c r="P31"/>
  <c r="Q31"/>
  <c r="R31"/>
  <c r="H32"/>
  <c r="I32"/>
  <c r="K32"/>
  <c r="M32" s="1"/>
  <c r="P32"/>
  <c r="Q32"/>
  <c r="R32"/>
  <c r="H46"/>
  <c r="I46"/>
  <c r="K46"/>
  <c r="M46" s="1"/>
  <c r="P46"/>
  <c r="Q46"/>
  <c r="R46"/>
  <c r="H47"/>
  <c r="I47"/>
  <c r="K47"/>
  <c r="M47" s="1"/>
  <c r="P47"/>
  <c r="Q47"/>
  <c r="R47"/>
  <c r="H48"/>
  <c r="I48"/>
  <c r="K48"/>
  <c r="M48" s="1"/>
  <c r="P48"/>
  <c r="Q48"/>
  <c r="R48"/>
  <c r="H49"/>
  <c r="I49"/>
  <c r="K49"/>
  <c r="M49" s="1"/>
  <c r="P49"/>
  <c r="Q49"/>
  <c r="R49"/>
  <c r="H50"/>
  <c r="I50"/>
  <c r="K50"/>
  <c r="M50" s="1"/>
  <c r="P50"/>
  <c r="Q50"/>
  <c r="R50"/>
  <c r="H51"/>
  <c r="I51"/>
  <c r="K51"/>
  <c r="M51" s="1"/>
  <c r="P51"/>
  <c r="Q51"/>
  <c r="R51"/>
  <c r="H52"/>
  <c r="I52"/>
  <c r="K52"/>
  <c r="M52" s="1"/>
  <c r="P52"/>
  <c r="Q52"/>
  <c r="R52"/>
  <c r="H53"/>
  <c r="I53"/>
  <c r="K53"/>
  <c r="M53" s="1"/>
  <c r="P53"/>
  <c r="Q53"/>
  <c r="R53"/>
  <c r="H54"/>
  <c r="I54"/>
  <c r="K54"/>
  <c r="M54" s="1"/>
  <c r="P54"/>
  <c r="Q54"/>
  <c r="R54"/>
  <c r="H55"/>
  <c r="I55"/>
  <c r="K55"/>
  <c r="M55" s="1"/>
  <c r="P55"/>
  <c r="Q55"/>
  <c r="R55"/>
  <c r="H56"/>
  <c r="I56"/>
  <c r="K56"/>
  <c r="M56" s="1"/>
  <c r="P56"/>
  <c r="Q56"/>
  <c r="R56"/>
  <c r="H57"/>
  <c r="I57"/>
  <c r="K57"/>
  <c r="M57" s="1"/>
  <c r="P57"/>
  <c r="Q57"/>
  <c r="R57"/>
  <c r="H58"/>
  <c r="I58"/>
  <c r="K58"/>
  <c r="M58" s="1"/>
  <c r="P58"/>
  <c r="Q58"/>
  <c r="R58"/>
  <c r="H59"/>
  <c r="I59"/>
  <c r="K59"/>
  <c r="M59" s="1"/>
  <c r="P59"/>
  <c r="Q59"/>
  <c r="R59"/>
  <c r="H60"/>
  <c r="I60"/>
  <c r="K60"/>
  <c r="M60" s="1"/>
  <c r="P60"/>
  <c r="Q60"/>
  <c r="R60"/>
  <c r="H61"/>
  <c r="I61"/>
  <c r="K61"/>
  <c r="M61" s="1"/>
  <c r="P61"/>
  <c r="Q61"/>
  <c r="R61"/>
  <c r="H62"/>
  <c r="I62"/>
  <c r="K62"/>
  <c r="M62" s="1"/>
  <c r="P62"/>
  <c r="Q62"/>
  <c r="R62"/>
  <c r="H63"/>
  <c r="I63"/>
  <c r="K63"/>
  <c r="M63" s="1"/>
  <c r="P63"/>
  <c r="Q63"/>
  <c r="R63"/>
  <c r="H64"/>
  <c r="I64"/>
  <c r="K64"/>
  <c r="M64" s="1"/>
  <c r="P64"/>
  <c r="Q64"/>
  <c r="R64"/>
  <c r="H65"/>
  <c r="I65"/>
  <c r="K65"/>
  <c r="M65" s="1"/>
  <c r="P65"/>
  <c r="Q65"/>
  <c r="R65"/>
  <c r="H66"/>
  <c r="I66"/>
  <c r="K66"/>
  <c r="M66" s="1"/>
  <c r="P66"/>
  <c r="Q66"/>
  <c r="R66"/>
  <c r="H67"/>
  <c r="I67"/>
  <c r="K67"/>
  <c r="M67" s="1"/>
  <c r="P67"/>
  <c r="Q67"/>
  <c r="R67"/>
  <c r="H68"/>
  <c r="I68"/>
  <c r="K68"/>
  <c r="M68" s="1"/>
  <c r="P68"/>
  <c r="Q68"/>
  <c r="R68"/>
  <c r="H69"/>
  <c r="I69"/>
  <c r="K69"/>
  <c r="M69" s="1"/>
  <c r="P69"/>
  <c r="Q69"/>
  <c r="R69"/>
  <c r="H70"/>
  <c r="I70"/>
  <c r="K70"/>
  <c r="M70" s="1"/>
  <c r="P70"/>
  <c r="Q70"/>
  <c r="R70"/>
  <c r="H71"/>
  <c r="I71"/>
  <c r="K71"/>
  <c r="M71" s="1"/>
  <c r="P71"/>
  <c r="Q71"/>
  <c r="R71"/>
  <c r="H72"/>
  <c r="I72"/>
  <c r="K72"/>
  <c r="M72" s="1"/>
  <c r="P72"/>
  <c r="Q72"/>
  <c r="R72"/>
  <c r="H73"/>
  <c r="I73"/>
  <c r="K73"/>
  <c r="M73" s="1"/>
  <c r="P73"/>
  <c r="Q73"/>
  <c r="R73"/>
  <c r="H74"/>
  <c r="I74"/>
  <c r="K74"/>
  <c r="M74" s="1"/>
  <c r="P74"/>
  <c r="Q74"/>
  <c r="R74"/>
  <c r="H75"/>
  <c r="I75"/>
  <c r="K75"/>
  <c r="M75" s="1"/>
  <c r="P75"/>
  <c r="Q75"/>
  <c r="R75"/>
  <c r="H76"/>
  <c r="I76"/>
  <c r="K76"/>
  <c r="M76" s="1"/>
  <c r="P76"/>
  <c r="Q76"/>
  <c r="R76"/>
  <c r="H77"/>
  <c r="I77"/>
  <c r="K77"/>
  <c r="M77" s="1"/>
  <c r="P77"/>
  <c r="Q77"/>
  <c r="R77"/>
  <c r="H78"/>
  <c r="I78"/>
  <c r="K78"/>
  <c r="M78" s="1"/>
  <c r="P78"/>
  <c r="Q78"/>
  <c r="R78"/>
  <c r="H79"/>
  <c r="I79"/>
  <c r="K79"/>
  <c r="M79" s="1"/>
  <c r="P79"/>
  <c r="Q79"/>
  <c r="R79"/>
  <c r="H80"/>
  <c r="I80"/>
  <c r="K80"/>
  <c r="M80" s="1"/>
  <c r="P80"/>
  <c r="Q80"/>
  <c r="R80"/>
  <c r="H81"/>
  <c r="I81"/>
  <c r="K81"/>
  <c r="M81" s="1"/>
  <c r="P81"/>
  <c r="Q81"/>
  <c r="R81"/>
  <c r="H82"/>
  <c r="I82"/>
  <c r="K82"/>
  <c r="M82" s="1"/>
  <c r="P82"/>
  <c r="Q82"/>
  <c r="R82"/>
  <c r="H83"/>
  <c r="I83"/>
  <c r="K83"/>
  <c r="M83" s="1"/>
  <c r="P83"/>
  <c r="Q83"/>
  <c r="R83"/>
  <c r="H84"/>
  <c r="I84"/>
  <c r="K84"/>
  <c r="M84" s="1"/>
  <c r="P84"/>
  <c r="Q84"/>
  <c r="R84"/>
  <c r="H85"/>
  <c r="I85"/>
  <c r="K85"/>
  <c r="M85" s="1"/>
  <c r="P85"/>
  <c r="Q85"/>
  <c r="R85"/>
  <c r="H86"/>
  <c r="I86"/>
  <c r="K86"/>
  <c r="M86" s="1"/>
  <c r="P86"/>
  <c r="Q86"/>
  <c r="R86"/>
  <c r="H87"/>
  <c r="I87"/>
  <c r="K87"/>
  <c r="M87" s="1"/>
  <c r="P87"/>
  <c r="Q87"/>
  <c r="R87"/>
  <c r="H88"/>
  <c r="I88"/>
  <c r="K88"/>
  <c r="M88" s="1"/>
  <c r="P88"/>
  <c r="Q88"/>
  <c r="R88"/>
  <c r="H89"/>
  <c r="I89"/>
  <c r="K89"/>
  <c r="M89" s="1"/>
  <c r="P89"/>
  <c r="Q89"/>
  <c r="R89"/>
  <c r="H90"/>
  <c r="I90"/>
  <c r="K90"/>
  <c r="M90" s="1"/>
  <c r="P90"/>
  <c r="Q90"/>
  <c r="R90"/>
  <c r="H91"/>
  <c r="I91"/>
  <c r="K91"/>
  <c r="M91" s="1"/>
  <c r="P91"/>
  <c r="Q91"/>
  <c r="R91"/>
  <c r="H92"/>
  <c r="I92"/>
  <c r="K92"/>
  <c r="M92" s="1"/>
  <c r="P92"/>
  <c r="Q92"/>
  <c r="R92"/>
  <c r="H93"/>
  <c r="I93"/>
  <c r="K93"/>
  <c r="M93" s="1"/>
  <c r="P93"/>
  <c r="Q93"/>
  <c r="R93"/>
  <c r="D1" i="4" l="1"/>
  <c r="M6" i="1"/>
  <c r="J18"/>
  <c r="S20"/>
  <c r="M15"/>
  <c r="M8"/>
  <c r="J22"/>
  <c r="S13"/>
  <c r="V13" s="1"/>
  <c r="S11"/>
  <c r="V11" s="1"/>
  <c r="M11"/>
  <c r="J33"/>
  <c r="S59"/>
  <c r="V59" s="1"/>
  <c r="J54"/>
  <c r="S32"/>
  <c r="V32" s="1"/>
  <c r="S31"/>
  <c r="V31" s="1"/>
  <c r="S43"/>
  <c r="U43" s="1"/>
  <c r="S38"/>
  <c r="U38" s="1"/>
  <c r="S36"/>
  <c r="V36" s="1"/>
  <c r="P25"/>
  <c r="S24"/>
  <c r="P23"/>
  <c r="M22"/>
  <c r="P21"/>
  <c r="M21"/>
  <c r="P20"/>
  <c r="J20"/>
  <c r="T20" s="1"/>
  <c r="J19"/>
  <c r="S18"/>
  <c r="P18"/>
  <c r="J17"/>
  <c r="P16"/>
  <c r="M16"/>
  <c r="J16"/>
  <c r="J15"/>
  <c r="S12"/>
  <c r="U12" s="1"/>
  <c r="S10"/>
  <c r="V10" s="1"/>
  <c r="J10"/>
  <c r="S9"/>
  <c r="V9" s="1"/>
  <c r="J9"/>
  <c r="M7"/>
  <c r="S6"/>
  <c r="V6" s="1"/>
  <c r="J6"/>
  <c r="J4"/>
  <c r="J34"/>
  <c r="J82"/>
  <c r="S74"/>
  <c r="V74" s="1"/>
  <c r="S48"/>
  <c r="V48" s="1"/>
  <c r="S28"/>
  <c r="V28" s="1"/>
  <c r="J28"/>
  <c r="S44"/>
  <c r="V44" s="1"/>
  <c r="J39"/>
  <c r="J92"/>
  <c r="J89"/>
  <c r="S83"/>
  <c r="V83" s="1"/>
  <c r="S76"/>
  <c r="V76" s="1"/>
  <c r="J73"/>
  <c r="J71"/>
  <c r="J70"/>
  <c r="S69"/>
  <c r="V69" s="1"/>
  <c r="J68"/>
  <c r="J67"/>
  <c r="S66"/>
  <c r="V66" s="1"/>
  <c r="J65"/>
  <c r="J64"/>
  <c r="J63"/>
  <c r="J62"/>
  <c r="J61"/>
  <c r="S57"/>
  <c r="V57" s="1"/>
  <c r="S56"/>
  <c r="V56" s="1"/>
  <c r="J56"/>
  <c r="S54"/>
  <c r="V54" s="1"/>
  <c r="S53"/>
  <c r="V53" s="1"/>
  <c r="J53"/>
  <c r="S52"/>
  <c r="V52" s="1"/>
  <c r="J52"/>
  <c r="S51"/>
  <c r="V51" s="1"/>
  <c r="J51"/>
  <c r="S50"/>
  <c r="V50" s="1"/>
  <c r="J50"/>
  <c r="S49"/>
  <c r="V49" s="1"/>
  <c r="J49"/>
  <c r="J48"/>
  <c r="S47"/>
  <c r="V47" s="1"/>
  <c r="J47"/>
  <c r="S46"/>
  <c r="V46" s="1"/>
  <c r="J46"/>
  <c r="J32"/>
  <c r="J31"/>
  <c r="S30"/>
  <c r="V30" s="1"/>
  <c r="J30"/>
  <c r="S29"/>
  <c r="V29" s="1"/>
  <c r="J29"/>
  <c r="S27"/>
  <c r="V27" s="1"/>
  <c r="J27"/>
  <c r="S45"/>
  <c r="V45" s="1"/>
  <c r="J45"/>
  <c r="J44"/>
  <c r="J43"/>
  <c r="S42"/>
  <c r="U42" s="1"/>
  <c r="J42"/>
  <c r="S41"/>
  <c r="U41" s="1"/>
  <c r="J41"/>
  <c r="S40"/>
  <c r="U40" s="1"/>
  <c r="J40"/>
  <c r="S39"/>
  <c r="V39" s="1"/>
  <c r="J38"/>
  <c r="S37"/>
  <c r="U37" s="1"/>
  <c r="J37"/>
  <c r="J36"/>
  <c r="S35"/>
  <c r="V35" s="1"/>
  <c r="S34"/>
  <c r="V34" s="1"/>
  <c r="S26"/>
  <c r="V26" s="1"/>
  <c r="J26"/>
  <c r="S25"/>
  <c r="M25"/>
  <c r="J25"/>
  <c r="T25" s="1"/>
  <c r="P24"/>
  <c r="M24"/>
  <c r="U24" s="1"/>
  <c r="J24"/>
  <c r="S23"/>
  <c r="M23"/>
  <c r="J23"/>
  <c r="T23" s="1"/>
  <c r="S22"/>
  <c r="T22" s="1"/>
  <c r="P22"/>
  <c r="S21"/>
  <c r="V21" s="1"/>
  <c r="J21"/>
  <c r="M20"/>
  <c r="S19"/>
  <c r="P19"/>
  <c r="M19"/>
  <c r="U19" s="1"/>
  <c r="M18"/>
  <c r="S17"/>
  <c r="P17"/>
  <c r="M17"/>
  <c r="U17" s="1"/>
  <c r="S16"/>
  <c r="S15"/>
  <c r="V15" s="1"/>
  <c r="S14"/>
  <c r="U14" s="1"/>
  <c r="P14"/>
  <c r="J14"/>
  <c r="J13"/>
  <c r="T13" s="1"/>
  <c r="P12"/>
  <c r="V12" s="1"/>
  <c r="J12"/>
  <c r="J11"/>
  <c r="T11" s="1"/>
  <c r="M10"/>
  <c r="U10" s="1"/>
  <c r="M9"/>
  <c r="S8"/>
  <c r="V8" s="1"/>
  <c r="J8"/>
  <c r="S7"/>
  <c r="V7" s="1"/>
  <c r="J7"/>
  <c r="S5"/>
  <c r="V5" s="1"/>
  <c r="J5"/>
  <c r="S4"/>
  <c r="V4" s="1"/>
  <c r="S3"/>
  <c r="V3" s="1"/>
  <c r="J3"/>
  <c r="J35"/>
  <c r="S92"/>
  <c r="V92" s="1"/>
  <c r="S86"/>
  <c r="V86" s="1"/>
  <c r="J85"/>
  <c r="S84"/>
  <c r="V84" s="1"/>
  <c r="S80"/>
  <c r="V80" s="1"/>
  <c r="J74"/>
  <c r="S82"/>
  <c r="V82" s="1"/>
  <c r="S81"/>
  <c r="V81" s="1"/>
  <c r="J81"/>
  <c r="J80"/>
  <c r="J77"/>
  <c r="J76"/>
  <c r="S73"/>
  <c r="V73" s="1"/>
  <c r="J72"/>
  <c r="S71"/>
  <c r="V71" s="1"/>
  <c r="S70"/>
  <c r="V70" s="1"/>
  <c r="J69"/>
  <c r="S68"/>
  <c r="V68" s="1"/>
  <c r="S67"/>
  <c r="V67" s="1"/>
  <c r="J66"/>
  <c r="S65"/>
  <c r="V65" s="1"/>
  <c r="S64"/>
  <c r="V64" s="1"/>
  <c r="S63"/>
  <c r="V63" s="1"/>
  <c r="S62"/>
  <c r="V62" s="1"/>
  <c r="S61"/>
  <c r="V61" s="1"/>
  <c r="S60"/>
  <c r="V60" s="1"/>
  <c r="J60"/>
  <c r="J59"/>
  <c r="S58"/>
  <c r="V58" s="1"/>
  <c r="J58"/>
  <c r="J57"/>
  <c r="S55"/>
  <c r="V55" s="1"/>
  <c r="J55"/>
  <c r="S33"/>
  <c r="T33" s="1"/>
  <c r="P33"/>
  <c r="S90"/>
  <c r="V90" s="1"/>
  <c r="J90"/>
  <c r="J87"/>
  <c r="J86"/>
  <c r="S85"/>
  <c r="V85" s="1"/>
  <c r="S93"/>
  <c r="V93" s="1"/>
  <c r="J79"/>
  <c r="S78"/>
  <c r="V78" s="1"/>
  <c r="J78"/>
  <c r="S77"/>
  <c r="V77" s="1"/>
  <c r="U34"/>
  <c r="J91"/>
  <c r="S89"/>
  <c r="V89" s="1"/>
  <c r="J83"/>
  <c r="J75"/>
  <c r="J93"/>
  <c r="S91"/>
  <c r="V91" s="1"/>
  <c r="S88"/>
  <c r="U88" s="1"/>
  <c r="J88"/>
  <c r="S87"/>
  <c r="V87" s="1"/>
  <c r="J84"/>
  <c r="S79"/>
  <c r="V79" s="1"/>
  <c r="S75"/>
  <c r="V75" s="1"/>
  <c r="S72"/>
  <c r="V38"/>
  <c r="T14" l="1"/>
  <c r="T43"/>
  <c r="U6"/>
  <c r="U39"/>
  <c r="U67"/>
  <c r="U65"/>
  <c r="V42"/>
  <c r="U45"/>
  <c r="U25"/>
  <c r="T18"/>
  <c r="U28"/>
  <c r="T49"/>
  <c r="T59"/>
  <c r="T74"/>
  <c r="T24"/>
  <c r="V24"/>
  <c r="V20"/>
  <c r="T82"/>
  <c r="T16"/>
  <c r="V16"/>
  <c r="T54"/>
  <c r="U47"/>
  <c r="U82"/>
  <c r="V40"/>
  <c r="U69"/>
  <c r="U76"/>
  <c r="U48"/>
  <c r="U29"/>
  <c r="U46"/>
  <c r="U54"/>
  <c r="T76"/>
  <c r="T38"/>
  <c r="T48"/>
  <c r="U33"/>
  <c r="T46"/>
  <c r="T17"/>
  <c r="U11"/>
  <c r="U13"/>
  <c r="V43"/>
  <c r="U57"/>
  <c r="T35"/>
  <c r="U50"/>
  <c r="T44"/>
  <c r="U20"/>
  <c r="U91"/>
  <c r="V17"/>
  <c r="V19"/>
  <c r="V22"/>
  <c r="U23"/>
  <c r="T40"/>
  <c r="T56"/>
  <c r="U85"/>
  <c r="T85"/>
  <c r="T84"/>
  <c r="U78"/>
  <c r="U55"/>
  <c r="U86"/>
  <c r="U84"/>
  <c r="T34"/>
  <c r="T15"/>
  <c r="U5"/>
  <c r="U44"/>
  <c r="U63"/>
  <c r="U71"/>
  <c r="U83"/>
  <c r="U4"/>
  <c r="U35"/>
  <c r="U49"/>
  <c r="U61"/>
  <c r="U73"/>
  <c r="U66"/>
  <c r="T66"/>
  <c r="T28"/>
  <c r="U58"/>
  <c r="U60"/>
  <c r="U8"/>
  <c r="T68"/>
  <c r="U21"/>
  <c r="U22"/>
  <c r="U52"/>
  <c r="T32"/>
  <c r="U26"/>
  <c r="U51"/>
  <c r="U59"/>
  <c r="U90"/>
  <c r="U32"/>
  <c r="U53"/>
  <c r="T10"/>
  <c r="T90"/>
  <c r="U15"/>
  <c r="T52"/>
  <c r="T57"/>
  <c r="T83"/>
  <c r="U36"/>
  <c r="U64"/>
  <c r="U74"/>
  <c r="T86"/>
  <c r="V18"/>
  <c r="U9"/>
  <c r="U16"/>
  <c r="U18"/>
  <c r="T36"/>
  <c r="T7"/>
  <c r="T8"/>
  <c r="T26"/>
  <c r="T37"/>
  <c r="T41"/>
  <c r="T50"/>
  <c r="T51"/>
  <c r="T53"/>
  <c r="T67"/>
  <c r="T71"/>
  <c r="T39"/>
  <c r="T4"/>
  <c r="T9"/>
  <c r="T12"/>
  <c r="T19"/>
  <c r="V23"/>
  <c r="V25"/>
  <c r="U27"/>
  <c r="U77"/>
  <c r="T77"/>
  <c r="U30"/>
  <c r="T27"/>
  <c r="U3"/>
  <c r="V37"/>
  <c r="V41"/>
  <c r="T72"/>
  <c r="U81"/>
  <c r="T47"/>
  <c r="U31"/>
  <c r="U92"/>
  <c r="T31"/>
  <c r="U56"/>
  <c r="T6"/>
  <c r="T92"/>
  <c r="T45"/>
  <c r="T29"/>
  <c r="T69"/>
  <c r="U93"/>
  <c r="T78"/>
  <c r="U89"/>
  <c r="U68"/>
  <c r="T62"/>
  <c r="U80"/>
  <c r="U7"/>
  <c r="T5"/>
  <c r="V14"/>
  <c r="T42"/>
  <c r="T93"/>
  <c r="V72"/>
  <c r="T61"/>
  <c r="T64"/>
  <c r="U70"/>
  <c r="T81"/>
  <c r="U79"/>
  <c r="T58"/>
  <c r="T80"/>
  <c r="V88"/>
  <c r="T63"/>
  <c r="T65"/>
  <c r="T3"/>
  <c r="T21"/>
  <c r="T30"/>
  <c r="V33"/>
  <c r="T88"/>
  <c r="U72"/>
  <c r="U87"/>
  <c r="U62"/>
  <c r="T55"/>
  <c r="T60"/>
  <c r="T70"/>
  <c r="T79"/>
  <c r="T91"/>
  <c r="T73"/>
  <c r="T75"/>
  <c r="U75"/>
  <c r="T89"/>
  <c r="T87"/>
</calcChain>
</file>

<file path=xl/sharedStrings.xml><?xml version="1.0" encoding="utf-8"?>
<sst xmlns="http://schemas.openxmlformats.org/spreadsheetml/2006/main" count="264" uniqueCount="256">
  <si>
    <t>Damage</t>
  </si>
  <si>
    <t>Heal</t>
  </si>
  <si>
    <t>Power</t>
  </si>
  <si>
    <t>Efficiency</t>
  </si>
  <si>
    <t>Base</t>
  </si>
  <si>
    <t>DD</t>
  </si>
  <si>
    <t>DoT</t>
  </si>
  <si>
    <t>Total</t>
  </si>
  <si>
    <t>ToT</t>
  </si>
  <si>
    <t>H</t>
  </si>
  <si>
    <t>HoT</t>
  </si>
  <si>
    <t>Notes</t>
  </si>
  <si>
    <t>Deft Strike</t>
  </si>
  <si>
    <t>Defensive Strike</t>
  </si>
  <si>
    <t>The Boot</t>
  </si>
  <si>
    <t>25% Daze 5s</t>
  </si>
  <si>
    <t>Persevere</t>
  </si>
  <si>
    <t>Offensive Strike</t>
  </si>
  <si>
    <t>Impressive Flourish</t>
  </si>
  <si>
    <t>Precise Blow</t>
  </si>
  <si>
    <t>AoE:10</t>
  </si>
  <si>
    <t>Power Attack</t>
  </si>
  <si>
    <t>Safeguard</t>
  </si>
  <si>
    <t>Shield Up</t>
  </si>
  <si>
    <t>30s +Block, +Evade, +Ranged Block</t>
  </si>
  <si>
    <t>Brink of Victory</t>
  </si>
  <si>
    <t>Combination Strike</t>
  </si>
  <si>
    <t>AoE:8 Drain over Time</t>
  </si>
  <si>
    <t>Onslaught</t>
  </si>
  <si>
    <t>Interrupt</t>
  </si>
  <si>
    <t>Slight Threat transfer from each fellowship member</t>
  </si>
  <si>
    <t>Piercing Strike</t>
  </si>
  <si>
    <t>Mighty Blow</t>
  </si>
  <si>
    <t>Boar’s Rush</t>
  </si>
  <si>
    <t>daze on crit (increased crit %)</t>
  </si>
  <si>
    <t>Wall of Steel</t>
  </si>
  <si>
    <t>+Parry 20s</t>
  </si>
  <si>
    <t>36</t>
  </si>
  <si>
    <t>Shield Mastery</t>
  </si>
  <si>
    <t>1min +Block, +Evade, +Ranged Block</t>
  </si>
  <si>
    <t>Celebration of Skill</t>
  </si>
  <si>
    <t>Surety of Death</t>
  </si>
  <si>
    <t>Dance of War</t>
  </si>
  <si>
    <t>+540 Evade 20s, Moderate Threat txfer from fellowship</t>
  </si>
  <si>
    <t>2</t>
  </si>
  <si>
    <t>Resolution</t>
  </si>
  <si>
    <t>AoE:10 Drain (not over time)</t>
  </si>
  <si>
    <t>Spear of Virtue</t>
  </si>
  <si>
    <t>Restoration</t>
  </si>
  <si>
    <t>Exultation of Battle</t>
  </si>
  <si>
    <t>AoE:10 Drain over Time</t>
  </si>
  <si>
    <t>The Dark Before the Dawn</t>
  </si>
  <si>
    <t>+Power, Excluded from gradient, because it GIVES power</t>
  </si>
  <si>
    <t>Reversal</t>
  </si>
  <si>
    <t>Remove corruption</t>
  </si>
  <si>
    <t>Adroit Maneuver</t>
  </si>
  <si>
    <t>-20% attack duration 20s</t>
  </si>
  <si>
    <t>56</t>
  </si>
  <si>
    <t>Desolation</t>
  </si>
  <si>
    <t>AoE:3, 25% 2s fear every 4s</t>
  </si>
  <si>
    <t>Conviction</t>
  </si>
  <si>
    <t>Moderate Threat txfer from fellowship, Heals Fellowship</t>
  </si>
  <si>
    <t>Warden’s Triumph</t>
  </si>
  <si>
    <t>+10% melee dmg 20s</t>
  </si>
  <si>
    <t>Taunt</t>
  </si>
  <si>
    <t>Gbt</t>
  </si>
  <si>
    <t>D/P</t>
  </si>
  <si>
    <t>H/P</t>
  </si>
  <si>
    <t>T/P</t>
  </si>
  <si>
    <t>&lt;&lt; Warden Level</t>
  </si>
  <si>
    <t>&lt;&lt; Max Main Hand Dmg</t>
  </si>
  <si>
    <t>T</t>
  </si>
  <si>
    <t>Goad - 1 Target</t>
  </si>
  <si>
    <t>Goad - 2 Target</t>
  </si>
  <si>
    <t>Goad - 3 Target</t>
  </si>
  <si>
    <t>Goad - 4 Target*</t>
  </si>
  <si>
    <t>Goad - 5 Target*</t>
  </si>
  <si>
    <t>Goad - 6 Target*</t>
  </si>
  <si>
    <t>*Requires "Know Your Enemy" Trait</t>
  </si>
  <si>
    <t>20s, +Block</t>
  </si>
  <si>
    <t>AoE:3 (Traited:6)</t>
  </si>
  <si>
    <t>War-Cry - 1 Target</t>
  </si>
  <si>
    <t>War-Cry - 2 Target</t>
  </si>
  <si>
    <t>War-Cry - 3 Target</t>
  </si>
  <si>
    <t>War-Cry - 4 Target</t>
  </si>
  <si>
    <t>War-Cry - 5 Target</t>
  </si>
  <si>
    <t>War-Cry - 6 Target</t>
  </si>
  <si>
    <t>War-Cry - 7 Target</t>
  </si>
  <si>
    <t>War-Cry - 8 Target</t>
  </si>
  <si>
    <t>War-Cry - 9 Target</t>
  </si>
  <si>
    <t>War-Cry - 10 Target</t>
  </si>
  <si>
    <t>Fierce Resolve-1 Target</t>
  </si>
  <si>
    <t>Fierce Resolve-2 Target</t>
  </si>
  <si>
    <t>Fierce Resolve-3 Target</t>
  </si>
  <si>
    <t>Fierce Resolve-4 Target</t>
  </si>
  <si>
    <t>Fierce Resolve-5 Target</t>
  </si>
  <si>
    <t>Fierce Resolve-6 Target</t>
  </si>
  <si>
    <t>Fierce Resolve-7 Target</t>
  </si>
  <si>
    <t>Fierce Resolve-8 Target</t>
  </si>
  <si>
    <t>Maddening Strike-Solo</t>
  </si>
  <si>
    <t>Mad Strike-1 Fellow</t>
  </si>
  <si>
    <t>Mad Strike-2 Fellow</t>
  </si>
  <si>
    <t>Mad Strike-3 Fellow</t>
  </si>
  <si>
    <t>Mad Strike-4 Fellow</t>
  </si>
  <si>
    <t>Mad Strike-5 Fellow</t>
  </si>
  <si>
    <t>Way of the Spear</t>
  </si>
  <si>
    <t>Skill and Power</t>
  </si>
  <si>
    <t>Efficient Thrust</t>
  </si>
  <si>
    <t>-40% Quick Thrust Power Cost</t>
  </si>
  <si>
    <t>Find Weakness</t>
  </si>
  <si>
    <t>Veteran</t>
  </si>
  <si>
    <t>+5% Spear Gambits Damage</t>
  </si>
  <si>
    <t>Expert Hurler</t>
  </si>
  <si>
    <t>-15s Javelin Skills Cooldown</t>
  </si>
  <si>
    <t>Mighty Throw</t>
  </si>
  <si>
    <t>+10% Javelin Skills Damage</t>
  </si>
  <si>
    <t>Deadly Thrust</t>
  </si>
  <si>
    <t>Master of the Spear</t>
  </si>
  <si>
    <t>Adds "Spear and Shield" and "Spear and Fist" Skills</t>
  </si>
  <si>
    <t>2 Equipped (-5% Spear Gambits Power Cost)</t>
  </si>
  <si>
    <t>3 Equipped (+15% Spear Gambits Critical Multiplier)</t>
  </si>
  <si>
    <t>4 Equipped (+5% Spear Gambits Damage)</t>
  </si>
  <si>
    <t>Way of the Shield</t>
  </si>
  <si>
    <t>Wary Blocks</t>
  </si>
  <si>
    <t>+10s Defensive Strike Buff Duration</t>
  </si>
  <si>
    <t>Shield Trickery</t>
  </si>
  <si>
    <t>+10% Chance Block Bonus for Shield Bash</t>
  </si>
  <si>
    <t>Perserverance</t>
  </si>
  <si>
    <t>+1 Pulse Heal Over Time Skills</t>
  </si>
  <si>
    <t>Skillful Blocking</t>
  </si>
  <si>
    <t>Never Say Die</t>
  </si>
  <si>
    <t>Efficient Shieldwork</t>
  </si>
  <si>
    <t>-5% Shield Gambits Power Cost</t>
  </si>
  <si>
    <t>Ward of Justice</t>
  </si>
  <si>
    <t>Master of the Shield</t>
  </si>
  <si>
    <t>Adds "Shield and Spear" and "Shield and Fist" Skills</t>
  </si>
  <si>
    <t>4 Equipped (+10% Heal Over Time Skills Healing)</t>
  </si>
  <si>
    <t>Way of the Fist</t>
  </si>
  <si>
    <t>Know Your Enemy</t>
  </si>
  <si>
    <t>+3 Goad Targets</t>
  </si>
  <si>
    <t>Deadly Insult</t>
  </si>
  <si>
    <t>Strong Voice</t>
  </si>
  <si>
    <t>War Cry Chance to Fear</t>
  </si>
  <si>
    <t>+Critical Strike Critical Rating</t>
  </si>
  <si>
    <t>+Block Rating</t>
  </si>
  <si>
    <t>+Warden Gambits Block, Parry, Evade Rating</t>
  </si>
  <si>
    <t>2 Equipped (+Block Rating)</t>
  </si>
  <si>
    <t>Terrible Visage</t>
  </si>
  <si>
    <t>+5% Fist Gambit Damage Over Time Damage</t>
  </si>
  <si>
    <t>Confidence</t>
  </si>
  <si>
    <t>+1 Fist Gambit Damage Over Time Pulse</t>
  </si>
  <si>
    <t>A Keen Response</t>
  </si>
  <si>
    <t>+15% Warden Fist Skills Physical Damage</t>
  </si>
  <si>
    <t>Force of Personality</t>
  </si>
  <si>
    <t>-Target Fist Gambits Resist Rating</t>
  </si>
  <si>
    <t>Master of the Fist</t>
  </si>
  <si>
    <t>Adds "Fist and Spear" and "Fist and Shield" Skills</t>
  </si>
  <si>
    <t>2 Equipped (+10% Warden Skills Threat)</t>
  </si>
  <si>
    <t>3 Equipped (+1 Fist Gambit Damage Over Time Pulse)</t>
  </si>
  <si>
    <t>4 Equipped (+5% Fist Gambit Damage Over Time Damage)</t>
  </si>
  <si>
    <t>+30% Gambit Default Damage</t>
  </si>
  <si>
    <t>QuickThrustPwr</t>
  </si>
  <si>
    <t>ShieldBashDD</t>
  </si>
  <si>
    <t>ShieldBashPwr</t>
  </si>
  <si>
    <t>WardensTauntDD</t>
  </si>
  <si>
    <t>WardensTauntDoT</t>
  </si>
  <si>
    <t>WardensTauntT</t>
  </si>
  <si>
    <t>WardensTauntPwr</t>
  </si>
  <si>
    <t>DeftStrikeDD</t>
  </si>
  <si>
    <t>DeftStrikePwr</t>
  </si>
  <si>
    <t>DefensiveStrikeDD</t>
  </si>
  <si>
    <t>DefensiveStrikePwr</t>
  </si>
  <si>
    <t>TheBootDD</t>
  </si>
  <si>
    <t>TheBootPwr</t>
  </si>
  <si>
    <t>GoadDD</t>
  </si>
  <si>
    <t>GoadDoT</t>
  </si>
  <si>
    <t>GoadT</t>
  </si>
  <si>
    <t>GoadToT</t>
  </si>
  <si>
    <t>GoadPwr</t>
  </si>
  <si>
    <t>PersevereDD</t>
  </si>
  <si>
    <t>PersevereH</t>
  </si>
  <si>
    <t>PersevereHoT</t>
  </si>
  <si>
    <t>PerseverePwr</t>
  </si>
  <si>
    <t>OffensiveStrikeT</t>
  </si>
  <si>
    <t>OffensiveStrikePwr</t>
  </si>
  <si>
    <t>ImpFlourishDD</t>
  </si>
  <si>
    <t>ImpFlourishDoT</t>
  </si>
  <si>
    <t>ImpFlourishH</t>
  </si>
  <si>
    <t>ImpFlourishHoT</t>
  </si>
  <si>
    <t>ImpFlourishPwr</t>
  </si>
  <si>
    <t>PreciseBlowDD</t>
  </si>
  <si>
    <t>PreciseBlowT</t>
  </si>
  <si>
    <t>PreciseBlowToT</t>
  </si>
  <si>
    <t>PreciseBlowPwr</t>
  </si>
  <si>
    <t>WarCryDoT</t>
  </si>
  <si>
    <t>WarCryT</t>
  </si>
  <si>
    <t>WarCryToT</t>
  </si>
  <si>
    <t>WarCryH</t>
  </si>
  <si>
    <t>WarCryHoT</t>
  </si>
  <si>
    <t>WarCryPwr</t>
  </si>
  <si>
    <t>PowerAttackDD</t>
  </si>
  <si>
    <t>PowerAttackDoT</t>
  </si>
  <si>
    <t>PowerAttackPwr</t>
  </si>
  <si>
    <t>SafeguardDD</t>
  </si>
  <si>
    <t>SafeguardH</t>
  </si>
  <si>
    <t>SafeguardHoT</t>
  </si>
  <si>
    <t>SafeguardPwr</t>
  </si>
  <si>
    <t>ShieldUpPwr</t>
  </si>
  <si>
    <t>BrinkofVictoryDD</t>
  </si>
  <si>
    <t>BrinkofVictoryDoT</t>
  </si>
  <si>
    <t>BrinkofVictoryT</t>
  </si>
  <si>
    <t>BrinkofVictoryPwr</t>
  </si>
  <si>
    <t>CombStrikeDD</t>
  </si>
  <si>
    <t>CombStrikeT</t>
  </si>
  <si>
    <t>CombStrikePwr</t>
  </si>
  <si>
    <t>FierceResolveDoT</t>
  </si>
  <si>
    <t>FierceResolveHoT</t>
  </si>
  <si>
    <t>FierceResolvePwr</t>
  </si>
  <si>
    <t>OnslaughtPwr</t>
  </si>
  <si>
    <t>MadStrikeDD</t>
  </si>
  <si>
    <t>MadStrikeT</t>
  </si>
  <si>
    <t>MadStrikePwr</t>
  </si>
  <si>
    <t>+Spear Gambit Critical Rating</t>
  </si>
  <si>
    <t>-Target Warden's Taunt Resist Rating</t>
  </si>
  <si>
    <t>Total Traits Selected</t>
  </si>
  <si>
    <t>Max Traits Allowed</t>
  </si>
  <si>
    <t>PiercingStrikeDD</t>
  </si>
  <si>
    <t>PiercingStrikeT</t>
  </si>
  <si>
    <t>PiercingStrikePwr</t>
  </si>
  <si>
    <t>3 Equipped (+Evade Rating)</t>
  </si>
  <si>
    <t>Gambit Comparison Sheet Instructions</t>
  </si>
  <si>
    <t>This tool comes with 4 pages:</t>
  </si>
  <si>
    <t>Gambit Comparison Sheet - The actual gambit comparison sheet.  More explanation below.</t>
  </si>
  <si>
    <t>Traits - a sheet to use to tag or try out trait selections.  These trait selections DO effect the calculations.</t>
  </si>
  <si>
    <t>Instructions - this sheet</t>
  </si>
  <si>
    <t>LvlData - the raw data list; these numbers should not be edited</t>
  </si>
  <si>
    <t>Gambit Comparision Sheet - What it does</t>
  </si>
  <si>
    <t>Select your level from the dropdown at the top left corner.  Then input the maxium damage from your</t>
  </si>
  <si>
    <t>mainhand weapon in the space immediately below your level.  The comparison sheet will make all</t>
  </si>
  <si>
    <t>the appropriate calculations based on the data contained in Traits and LvlData.</t>
  </si>
  <si>
    <t>Taunt column shows a comparitive gage of how much threat is generated by the start skills and gambit combined.</t>
  </si>
  <si>
    <t>Heal column shows how much damage is healed by the gambit.</t>
  </si>
  <si>
    <t>Damage column shows how much damage is done by the starter skills and gambit combined.</t>
  </si>
  <si>
    <t>Power column shows how much power is expended by the starter skills and gambit combined.</t>
  </si>
  <si>
    <t>Efficiency column - This is where it gets good.</t>
  </si>
  <si>
    <t>This column shows a relative efficency of the skill and gambits.  This is basically Dmg/Pwr, Heal/Pwr, and</t>
  </si>
  <si>
    <t>Taunt/Pwr.  It is a relative rating and not to be compared across columns.  Dmg cannot be compared w/ Heal, etc.</t>
  </si>
  <si>
    <t>Note: This is currently a work in progress.  I have to level a warden to the appropriate level in order to fill in the</t>
  </si>
  <si>
    <t>LvlData information.  Therefore, it is only useful for those levels that I have data filled in.  Additionally, I haven't</t>
  </si>
  <si>
    <t>yet put the calculations in for gambits higher than the highest level of LvlData.</t>
  </si>
  <si>
    <t>Traits Sheet - The cool stuff</t>
  </si>
  <si>
    <t>This sheet allows you to play around with your traits configuration and compare configurations.</t>
  </si>
  <si>
    <t>Simply place an 'x' in the box below the trait you want to 'equip' and the sheet will do the rest of the calculations.</t>
  </si>
  <si>
    <t>It uses the Lvl on the Gambit Comparison Sheet to tell you if you have chosen too many traits for your level.</t>
  </si>
  <si>
    <t>To clear a trait, just press delete to remove the 'x'.</t>
  </si>
  <si>
    <t>x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</si>
</sst>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1"/>
      <color indexed="15"/>
      <name val="Calibri"/>
    </font>
    <font>
      <b/>
      <sz val="11"/>
      <color indexed="15"/>
      <name val="Calibri"/>
    </font>
    <font>
      <sz val="10"/>
      <color indexed="8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8"/>
      <color indexed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2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2" fillId="0" borderId="2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2" borderId="5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1" fillId="3" borderId="7" xfId="0" applyNumberFormat="1" applyFont="1" applyFill="1" applyBorder="1" applyAlignment="1">
      <alignment horizontal="center"/>
    </xf>
    <xf numFmtId="0" fontId="1" fillId="4" borderId="5" xfId="0" applyNumberFormat="1" applyFont="1" applyFill="1" applyBorder="1" applyAlignment="1">
      <alignment horizontal="center"/>
    </xf>
    <xf numFmtId="0" fontId="1" fillId="4" borderId="6" xfId="0" applyNumberFormat="1" applyFont="1" applyFill="1" applyBorder="1" applyAlignment="1">
      <alignment horizontal="center"/>
    </xf>
    <xf numFmtId="0" fontId="1" fillId="4" borderId="7" xfId="0" applyNumberFormat="1" applyFont="1" applyFill="1" applyBorder="1" applyAlignment="1">
      <alignment horizontal="center"/>
    </xf>
    <xf numFmtId="0" fontId="1" fillId="3" borderId="0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center"/>
    </xf>
    <xf numFmtId="0" fontId="1" fillId="4" borderId="0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>
      <alignment horizontal="center"/>
    </xf>
    <xf numFmtId="0" fontId="1" fillId="3" borderId="4" xfId="0" applyNumberFormat="1" applyFont="1" applyFill="1" applyBorder="1" applyAlignment="1">
      <alignment horizontal="center"/>
    </xf>
    <xf numFmtId="0" fontId="1" fillId="4" borderId="8" xfId="0" applyNumberFormat="1" applyFont="1" applyFill="1" applyBorder="1" applyAlignment="1">
      <alignment horizontal="center"/>
    </xf>
    <xf numFmtId="0" fontId="1" fillId="4" borderId="3" xfId="0" applyNumberFormat="1" applyFont="1" applyFill="1" applyBorder="1" applyAlignment="1">
      <alignment horizontal="center"/>
    </xf>
    <xf numFmtId="0" fontId="1" fillId="4" borderId="4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/>
    <xf numFmtId="0" fontId="1" fillId="2" borderId="10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/>
    </xf>
    <xf numFmtId="0" fontId="1" fillId="3" borderId="11" xfId="0" applyNumberFormat="1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/>
    </xf>
    <xf numFmtId="0" fontId="1" fillId="4" borderId="11" xfId="0" applyNumberFormat="1" applyFont="1" applyFill="1" applyBorder="1" applyAlignment="1">
      <alignment horizontal="center"/>
    </xf>
    <xf numFmtId="0" fontId="1" fillId="5" borderId="7" xfId="0" applyNumberFormat="1" applyFont="1" applyFill="1" applyBorder="1" applyAlignment="1">
      <alignment horizontal="center"/>
    </xf>
    <xf numFmtId="0" fontId="1" fillId="5" borderId="2" xfId="0" applyNumberFormat="1" applyFont="1" applyFill="1" applyBorder="1" applyAlignment="1">
      <alignment horizontal="center"/>
    </xf>
    <xf numFmtId="0" fontId="1" fillId="5" borderId="4" xfId="0" applyNumberFormat="1" applyFont="1" applyFill="1" applyBorder="1" applyAlignment="1">
      <alignment horizontal="center"/>
    </xf>
    <xf numFmtId="0" fontId="1" fillId="5" borderId="0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1" fillId="0" borderId="3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5" borderId="5" xfId="0" applyNumberFormat="1" applyFont="1" applyFill="1" applyBorder="1" applyAlignment="1">
      <alignment horizontal="center"/>
    </xf>
    <xf numFmtId="0" fontId="1" fillId="5" borderId="6" xfId="0" applyNumberFormat="1" applyFont="1" applyFill="1" applyBorder="1" applyAlignment="1">
      <alignment horizontal="center"/>
    </xf>
    <xf numFmtId="0" fontId="1" fillId="5" borderId="8" xfId="0" applyNumberFormat="1" applyFont="1" applyFill="1" applyBorder="1" applyAlignment="1">
      <alignment horizontal="center"/>
    </xf>
    <xf numFmtId="0" fontId="1" fillId="5" borderId="3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/>
    <xf numFmtId="0" fontId="0" fillId="0" borderId="12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/>
    <xf numFmtId="0" fontId="0" fillId="0" borderId="14" xfId="0" applyNumberFormat="1" applyFill="1" applyBorder="1" applyAlignment="1"/>
    <xf numFmtId="0" fontId="0" fillId="0" borderId="14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0" fillId="0" borderId="17" xfId="0" quotePrefix="1" applyNumberFormat="1" applyFill="1" applyBorder="1" applyAlignment="1">
      <alignment horizontal="center" vertical="center" wrapText="1"/>
    </xf>
    <xf numFmtId="0" fontId="0" fillId="0" borderId="14" xfId="0" quotePrefix="1" applyNumberForma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 wrapText="1"/>
    </xf>
    <xf numFmtId="0" fontId="0" fillId="0" borderId="19" xfId="0" quotePrefix="1" applyNumberForma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 vertical="center" wrapText="1"/>
    </xf>
    <xf numFmtId="0" fontId="0" fillId="0" borderId="19" xfId="0" applyNumberForma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/>
    </xf>
    <xf numFmtId="0" fontId="1" fillId="6" borderId="0" xfId="0" applyNumberFormat="1" applyFont="1" applyFill="1" applyBorder="1" applyAlignment="1" applyProtection="1">
      <alignment horizontal="center"/>
      <protection locked="0"/>
    </xf>
    <xf numFmtId="0" fontId="2" fillId="0" borderId="8" xfId="0" applyNumberFormat="1" applyFont="1" applyFill="1" applyBorder="1" applyAlignment="1" applyProtection="1">
      <alignment horizontal="center"/>
      <protection locked="0"/>
    </xf>
    <xf numFmtId="0" fontId="2" fillId="0" borderId="4" xfId="0" applyNumberFormat="1" applyFont="1" applyFill="1" applyBorder="1" applyAlignment="1" applyProtection="1">
      <alignment horizontal="center"/>
      <protection locked="0"/>
    </xf>
    <xf numFmtId="0" fontId="2" fillId="0" borderId="21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10" xfId="0" applyNumberFormat="1" applyFont="1" applyFill="1" applyBorder="1" applyAlignment="1" applyProtection="1">
      <alignment horizontal="center"/>
      <protection locked="0"/>
    </xf>
    <xf numFmtId="0" fontId="2" fillId="0" borderId="11" xfId="0" applyNumberFormat="1" applyFont="1" applyFill="1" applyBorder="1" applyAlignment="1" applyProtection="1">
      <alignment horizontal="center"/>
      <protection locked="0"/>
    </xf>
    <xf numFmtId="0" fontId="2" fillId="0" borderId="9" xfId="0" applyNumberFormat="1" applyFont="1" applyFill="1" applyBorder="1" applyAlignment="1" applyProtection="1">
      <alignment horizontal="center"/>
      <protection locked="0"/>
    </xf>
    <xf numFmtId="0" fontId="11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0" fillId="0" borderId="23" xfId="0" applyNumberFormat="1" applyFill="1" applyBorder="1" applyAlignment="1" applyProtection="1">
      <alignment horizontal="center" vertical="center" wrapText="1"/>
      <protection locked="0"/>
    </xf>
    <xf numFmtId="0" fontId="11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NumberForma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ill="1" applyBorder="1" applyAlignment="1" applyProtection="1">
      <alignment horizontal="center" vertical="center" wrapText="1"/>
      <protection locked="0"/>
    </xf>
    <xf numFmtId="0" fontId="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8080"/>
      <rgbColor rgb="00C0C0C0"/>
      <rgbColor rgb="00FF0000"/>
      <rgbColor rgb="0099CC00"/>
      <rgbColor rgb="00FFFF00"/>
      <rgbColor rgb="00010000"/>
      <rgbColor rgb="00FF6600"/>
      <rgbColor rgb="00FFCC99"/>
      <rgbColor rgb="0000FF00"/>
      <rgbColor rgb="00FFFF99"/>
      <rgbColor rgb="00969696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5"/>
  <sheetViews>
    <sheetView tabSelected="1" zoomScale="110" zoomScaleNormal="110" workbookViewId="0"/>
  </sheetViews>
  <sheetFormatPr defaultRowHeight="12.75" outlineLevelRow="2"/>
  <cols>
    <col min="1" max="1" width="5.28515625" style="57" bestFit="1" customWidth="1"/>
    <col min="2" max="2" width="23.140625" bestFit="1" customWidth="1"/>
    <col min="3" max="6" width="2.28515625" bestFit="1" customWidth="1"/>
    <col min="7" max="7" width="2" bestFit="1" customWidth="1"/>
    <col min="8" max="22" width="5.7109375" customWidth="1"/>
    <col min="23" max="23" width="45.85546875" customWidth="1"/>
    <col min="24" max="24" width="8" bestFit="1" customWidth="1"/>
  </cols>
  <sheetData>
    <row r="1" spans="1:24" ht="15" customHeight="1">
      <c r="A1" s="93">
        <v>20</v>
      </c>
      <c r="B1" s="1" t="s">
        <v>69</v>
      </c>
      <c r="C1" s="1"/>
      <c r="D1" s="1"/>
      <c r="E1" s="1"/>
      <c r="F1" s="1"/>
      <c r="G1" s="2"/>
      <c r="H1" s="114" t="s">
        <v>0</v>
      </c>
      <c r="I1" s="114"/>
      <c r="J1" s="115"/>
      <c r="K1" s="114" t="s">
        <v>64</v>
      </c>
      <c r="L1" s="114"/>
      <c r="M1" s="115"/>
      <c r="N1" s="116" t="s">
        <v>1</v>
      </c>
      <c r="O1" s="114"/>
      <c r="P1" s="115"/>
      <c r="Q1" s="117" t="s">
        <v>2</v>
      </c>
      <c r="R1" s="118"/>
      <c r="S1" s="119"/>
      <c r="T1" s="111" t="s">
        <v>3</v>
      </c>
      <c r="U1" s="112"/>
      <c r="V1" s="113"/>
      <c r="W1" s="3"/>
      <c r="X1" s="1"/>
    </row>
    <row r="2" spans="1:24" ht="15" customHeight="1">
      <c r="A2" s="93">
        <v>40</v>
      </c>
      <c r="B2" s="1" t="s">
        <v>70</v>
      </c>
      <c r="C2" s="5"/>
      <c r="D2" s="5"/>
      <c r="E2" s="5"/>
      <c r="F2" s="5"/>
      <c r="G2" s="6"/>
      <c r="H2" s="94" t="s">
        <v>5</v>
      </c>
      <c r="I2" s="95" t="s">
        <v>6</v>
      </c>
      <c r="J2" s="96" t="s">
        <v>7</v>
      </c>
      <c r="K2" s="94" t="s">
        <v>71</v>
      </c>
      <c r="L2" s="95" t="s">
        <v>8</v>
      </c>
      <c r="M2" s="96" t="s">
        <v>7</v>
      </c>
      <c r="N2" s="94" t="s">
        <v>9</v>
      </c>
      <c r="O2" s="97" t="s">
        <v>10</v>
      </c>
      <c r="P2" s="95" t="s">
        <v>7</v>
      </c>
      <c r="Q2" s="98" t="s">
        <v>4</v>
      </c>
      <c r="R2" s="98" t="s">
        <v>65</v>
      </c>
      <c r="S2" s="98" t="s">
        <v>7</v>
      </c>
      <c r="T2" s="99" t="s">
        <v>66</v>
      </c>
      <c r="U2" s="100" t="s">
        <v>68</v>
      </c>
      <c r="V2" s="101" t="s">
        <v>67</v>
      </c>
      <c r="W2" s="4" t="s">
        <v>11</v>
      </c>
      <c r="X2" s="1"/>
    </row>
    <row r="3" spans="1:24" ht="15" customHeight="1">
      <c r="A3" s="52">
        <v>1</v>
      </c>
      <c r="B3" s="2" t="s">
        <v>12</v>
      </c>
      <c r="C3" s="7">
        <v>1</v>
      </c>
      <c r="D3" s="8">
        <v>1</v>
      </c>
      <c r="E3" s="9"/>
      <c r="F3" s="9"/>
      <c r="G3" s="10"/>
      <c r="H3" s="49">
        <f ca="1">IF($C3&lt;&gt;"",CHOOSE($C3,MainHandDmg,OFFSET(ShieldBashDD,0,Level),OFFSET(WardensTauntDD,0,Level)))+IF($D3&lt;&gt;"",CHOOSE($D3,MainHandDmg,OFFSET(ShieldBashDD,0,Level),OFFSET(WardensTauntDD,0,Level)))+IF($E3&lt;&gt;"",CHOOSE($E3,MainHandDmg,OFFSET(ShieldBashDD,0,Level),OFFSET(WardensTauntDD,0,Level)))+IF($F3&lt;&gt;"",CHOOSE($F3,MainHandDmg,OFFSET(ShieldBashDD,0,Level),OFFSET(WardensTauntDD,0,Level)))+IF($G3&lt;&gt;"",CHOOSE($G3,MainHandDmg,OFFSET(ShieldBashDD,0,Level),OFFSET(WardensTauntDD,0,Level)))+MainHandDmg*(1+0.05*NOT(ISBLANK(Veteran))+IF(WayoftheSpear4="",0,0.05))+OFFSET(DeftStrikeDD,0,Level)*(1+0.05*NOT(ISBLANK(Veteran))+IF(WayoftheSpear4="",0,0.05))</f>
        <v>139</v>
      </c>
      <c r="I3" s="43">
        <f ca="1">IF($C3&lt;&gt;0,CHOOSE($C3,0,0,OFFSET(WardensTauntDoT,0,Level)))+IF($D3&lt;&gt;0,CHOOSE($D3,0,0,OFFSET(WardensTauntDoT,0,Level)))+IF($E3&lt;&gt;0,CHOOSE($E3,0,0,OFFSET(WardensTauntDoT,0,Level)))+IF($F3&lt;&gt;0,CHOOSE($F3,0,0,OFFSET(WardensTauntDoT,0,Level)))+IF($G3&lt;&gt;0,CHOOSE($G3,0,0,OFFSET(WardensTauntDoT,0,Level)))</f>
        <v>0</v>
      </c>
      <c r="J3" s="44">
        <f t="shared" ref="J3:J40" ca="1" si="0">SUM(H3:I3)</f>
        <v>139</v>
      </c>
      <c r="K3" s="49">
        <f ca="1">IF($C3&lt;&gt;"",CHOOSE($C3,0,0,OFFSET(WardensTauntT,0,Level)))+IF($D3&lt;&gt;"",CHOOSE($D3,0,0,OFFSET(WardensTauntT,0,Level)))+IF($E3&lt;&gt;"",CHOOSE($E3,0,0,OFFSET(WardensTauntT,0,Level)))+IF($F3&lt;&gt;"",CHOOSE($F3,0,0,OFFSET(WardensTauntT,0,Level)))+IF($G3&lt;&gt;"",CHOOSE($G3,0,0,OFFSET(WardensTauntT,0,Level)))</f>
        <v>0</v>
      </c>
      <c r="L3" s="43"/>
      <c r="M3" s="44">
        <f t="shared" ref="M3:M40" ca="1" si="1">SUM(K3:L3)</f>
        <v>0</v>
      </c>
      <c r="N3" s="49"/>
      <c r="O3" s="43"/>
      <c r="P3" s="44">
        <f t="shared" ref="P3:P40" si="2">SUM(N3:O3)</f>
        <v>0</v>
      </c>
      <c r="Q3" s="49">
        <f t="shared" ref="Q3:Q40" ca="1" si="3">IF($C3&lt;&gt;"",CHOOSE($C3,((OFFSET(QuickThrustPwr,0,Level)*(1-0.4*NOT(ISBLANK(EfficientThrust))))*(1-0.4*NOT(ISBLANK(EfficientThrust)))),OFFSET(ShieldBashPwr,0,Level),OFFSET(WardensTauntPwr,0,Level)))+IF($D3&lt;&gt;"",CHOOSE($D3,(OFFSET(QuickThrustPwr,0,Level)*(1-0.4*NOT(ISBLANK(EfficientThrust)))),OFFSET(ShieldBashPwr,0,Level),OFFSET(WardensTauntPwr,0,Level)))+IF($E3&lt;&gt;"",CHOOSE($E3,(OFFSET(QuickThrustPwr,0,Level)*(1-0.4*NOT(ISBLANK(EfficientThrust)))),OFFSET(ShieldBashPwr,0,Level),OFFSET(WardensTauntPwr,0,Level)))+IF($F3&lt;&gt;"",CHOOSE($F3,(OFFSET(QuickThrustPwr,0,Level)*(1-0.4*NOT(ISBLANK(EfficientThrust)))),OFFSET(ShieldBashPwr,0,Level),OFFSET(WardensTauntPwr,0,Level)))+IF($G3&lt;&gt;"",CHOOSE($G3,(OFFSET(QuickThrustPwr,0,Level)*(1-0.4*NOT(ISBLANK(EfficientThrust)))),OFFSET(ShieldBashPwr,0,Level),OFFSET(WardensTauntPwr,0,Level)))</f>
        <v>38</v>
      </c>
      <c r="R3" s="43">
        <f ca="1">OFFSET(DeftStrikePwr,0,Level)*(IF(WayoftheSpear2="",1,0.95))</f>
        <v>23</v>
      </c>
      <c r="S3" s="44">
        <f t="shared" ref="S3:S40" ca="1" si="4">SUM(Q3:R3)</f>
        <v>61</v>
      </c>
      <c r="T3" s="58">
        <f t="shared" ref="T3:T40" ca="1" si="5">J3/S3</f>
        <v>2.278688524590164</v>
      </c>
      <c r="U3" s="59">
        <f t="shared" ref="U3:U40" ca="1" si="6">M3/S3*100</f>
        <v>0</v>
      </c>
      <c r="V3" s="60">
        <f t="shared" ref="V3:V40" ca="1" si="7">P3/S3</f>
        <v>0</v>
      </c>
      <c r="W3" s="3"/>
      <c r="X3" s="1"/>
    </row>
    <row r="4" spans="1:24" ht="15" customHeight="1">
      <c r="A4" s="52">
        <v>2</v>
      </c>
      <c r="B4" s="2" t="s">
        <v>13</v>
      </c>
      <c r="C4" s="16">
        <v>2</v>
      </c>
      <c r="D4" s="17">
        <v>2</v>
      </c>
      <c r="E4" s="14"/>
      <c r="F4" s="14"/>
      <c r="G4" s="15"/>
      <c r="H4" s="50">
        <f ca="1">IF($C4&lt;&gt;"",CHOOSE($C4,MainHandDmg,OFFSET(ShieldBashDD,0,Level),OFFSET(WardensTauntDD,0,Level)))+IF($D4&lt;&gt;"",CHOOSE($D4,MainHandDmg,OFFSET(ShieldBashDD,0,Level),OFFSET(WardensTauntDD,0,Level)))+IF($E4&lt;&gt;"",CHOOSE($E4,MainHandDmg,OFFSET(ShieldBashDD,0,Level),OFFSET(WardensTauntDD,0,Level)))+IF($F4&lt;&gt;"",CHOOSE($F4,MainHandDmg,OFFSET(ShieldBashDD,0,Level),OFFSET(WardensTauntDD,0,Level)))+IF($G4&lt;&gt;"",CHOOSE($G4,MainHandDmg,OFFSET(ShieldBashDD,0,Level),OFFSET(WardensTauntDD,0,Level)))+MainHandDmg+OFFSET(DefensiveStrikeDD,0,Level)</f>
        <v>100</v>
      </c>
      <c r="I4" s="52">
        <f ca="1">IF($C4&lt;&gt;0,CHOOSE($C4,0,0,OFFSET(WardensTauntDoT,0,Level)))+IF($D4&lt;&gt;0,CHOOSE($D4,0,0,OFFSET(WardensTauntDoT,0,Level)))+IF($E4&lt;&gt;0,CHOOSE($E4,0,0,OFFSET(WardensTauntDoT,0,Level)))+IF($F4&lt;&gt;0,CHOOSE($F4,0,0,OFFSET(WardensTauntDoT,0,Level)))+IF($G4&lt;&gt;0,CHOOSE($G4,0,0,OFFSET(WardensTauntDoT,0,Level)))</f>
        <v>0</v>
      </c>
      <c r="J4" s="26">
        <f t="shared" ca="1" si="0"/>
        <v>100</v>
      </c>
      <c r="K4" s="50">
        <f ca="1">IF($C4&lt;&gt;"",CHOOSE($C4,0,0,OFFSET(WardensTauntT,0,Level)))+IF($D4&lt;&gt;"",CHOOSE($D4,0,0,OFFSET(WardensTauntT,0,Level)))+IF($E4&lt;&gt;"",CHOOSE($E4,0,0,OFFSET(WardensTauntT,0,Level)))+IF($F4&lt;&gt;"",CHOOSE($F4,0,0,OFFSET(WardensTauntT,0,Level)))+IF($G4&lt;&gt;"",CHOOSE($G4,0,0,OFFSET(WardensTauntT,0,Level)))</f>
        <v>0</v>
      </c>
      <c r="L4" s="52"/>
      <c r="M4" s="26">
        <f t="shared" ca="1" si="1"/>
        <v>0</v>
      </c>
      <c r="N4" s="50"/>
      <c r="O4" s="52"/>
      <c r="P4" s="26">
        <f t="shared" si="2"/>
        <v>0</v>
      </c>
      <c r="Q4" s="50">
        <f t="shared" ca="1" si="3"/>
        <v>34</v>
      </c>
      <c r="R4" s="52">
        <f ca="1">OFFSET(DefensiveStrikePwr,0,Level)*(1-0.05*(NOT(ISBLANK(EfficientShieldwork))))</f>
        <v>19</v>
      </c>
      <c r="S4" s="26">
        <f t="shared" ca="1" si="4"/>
        <v>53</v>
      </c>
      <c r="T4" s="61">
        <f t="shared" ca="1" si="5"/>
        <v>1.8867924528301887</v>
      </c>
      <c r="U4" s="62">
        <f t="shared" ca="1" si="6"/>
        <v>0</v>
      </c>
      <c r="V4" s="63">
        <f t="shared" ca="1" si="7"/>
        <v>0</v>
      </c>
      <c r="W4" s="3" t="s">
        <v>79</v>
      </c>
      <c r="X4" s="1"/>
    </row>
    <row r="5" spans="1:24" ht="15" customHeight="1">
      <c r="A5" s="46">
        <v>3</v>
      </c>
      <c r="B5" s="6" t="s">
        <v>14</v>
      </c>
      <c r="C5" s="19">
        <v>1</v>
      </c>
      <c r="D5" s="23">
        <v>2</v>
      </c>
      <c r="E5" s="20"/>
      <c r="F5" s="20"/>
      <c r="G5" s="21"/>
      <c r="H5" s="51">
        <f ca="1">IF($C5&lt;&gt;"",CHOOSE($C5,MainHandDmg,OFFSET(ShieldBashDD,0,Level),OFFSET(WardensTauntDD,0,Level)))+IF($D5&lt;&gt;"",CHOOSE($D5,MainHandDmg,OFFSET(ShieldBashDD,0,Level),OFFSET(WardensTauntDD,0,Level)))+IF($E5&lt;&gt;"",CHOOSE($E5,MainHandDmg,OFFSET(ShieldBashDD,0,Level),OFFSET(WardensTauntDD,0,Level)))+IF($F5&lt;&gt;"",CHOOSE($F5,MainHandDmg,OFFSET(ShieldBashDD,0,Level),OFFSET(WardensTauntDD,0,Level)))+IF($G5&lt;&gt;"",CHOOSE($G5,MainHandDmg,OFFSET(ShieldBashDD,0,Level),OFFSET(WardensTauntDD,0,Level)))+OFFSET(TheBootDD,0,Level)*(1+0.05*NOT(ISBLANK(Veteran))+IF(WayoftheSpear4="",0,0.05))</f>
        <v>103</v>
      </c>
      <c r="I5" s="46">
        <f ca="1">IF($C5&lt;&gt;0,CHOOSE($C5,0,0,OFFSET(WardensTauntDoT,0,Level)))+IF($D5&lt;&gt;0,CHOOSE($D5,0,0,OFFSET(WardensTauntDoT,0,Level)))+IF($E5&lt;&gt;0,CHOOSE($E5,0,0,OFFSET(WardensTauntDoT,0,Level)))+IF($F5&lt;&gt;0,CHOOSE($F5,0,0,OFFSET(WardensTauntDoT,0,Level)))+IF($G5&lt;&gt;0,CHOOSE($G5,0,0,OFFSET(WardensTauntDoT,0,Level)))</f>
        <v>0</v>
      </c>
      <c r="J5" s="28">
        <f t="shared" ca="1" si="0"/>
        <v>103</v>
      </c>
      <c r="K5" s="51">
        <f ca="1">IF($C5&lt;&gt;"",CHOOSE($C5,0,0,OFFSET(WardensTauntT,0,Level)))+IF($D5&lt;&gt;"",CHOOSE($D5,0,0,OFFSET(WardensTauntT,0,Level)))+IF($E5&lt;&gt;"",CHOOSE($E5,0,0,OFFSET(WardensTauntT,0,Level)))+IF($F5&lt;&gt;"",CHOOSE($F5,0,0,OFFSET(WardensTauntT,0,Level)))+IF($G5&lt;&gt;"",CHOOSE($G5,0,0,OFFSET(WardensTauntT,0,Level)))</f>
        <v>0</v>
      </c>
      <c r="L5" s="46"/>
      <c r="M5" s="28">
        <f t="shared" ca="1" si="1"/>
        <v>0</v>
      </c>
      <c r="N5" s="51"/>
      <c r="O5" s="46"/>
      <c r="P5" s="28">
        <f t="shared" si="2"/>
        <v>0</v>
      </c>
      <c r="Q5" s="51">
        <f t="shared" ca="1" si="3"/>
        <v>36</v>
      </c>
      <c r="R5" s="92">
        <f ca="1">OFFSET(TheBootPwr,0,Level)*(IF(WayoftheSpear2="",1,0.95))</f>
        <v>28</v>
      </c>
      <c r="S5" s="28">
        <f t="shared" ca="1" si="4"/>
        <v>64</v>
      </c>
      <c r="T5" s="64">
        <f t="shared" ca="1" si="5"/>
        <v>1.609375</v>
      </c>
      <c r="U5" s="65">
        <f t="shared" ca="1" si="6"/>
        <v>0</v>
      </c>
      <c r="V5" s="66">
        <f t="shared" ca="1" si="7"/>
        <v>0</v>
      </c>
      <c r="W5" s="3" t="s">
        <v>15</v>
      </c>
      <c r="X5" s="1"/>
    </row>
    <row r="6" spans="1:24" ht="15" customHeight="1">
      <c r="A6" s="43">
        <v>4</v>
      </c>
      <c r="B6" s="25" t="s">
        <v>72</v>
      </c>
      <c r="C6" s="53">
        <v>3</v>
      </c>
      <c r="D6" s="54">
        <v>3</v>
      </c>
      <c r="E6" s="9"/>
      <c r="F6" s="9"/>
      <c r="G6" s="10"/>
      <c r="H6" s="49">
        <f ca="1">IF($C6&lt;&gt;"",CHOOSE($C6,MainHandDmg,OFFSET(ShieldBashDD,0,Level),OFFSET(WardensTauntDD,0,Level)))+IF($D6&lt;&gt;"",CHOOSE($D6,MainHandDmg,OFFSET(ShieldBashDD,0,Level),OFFSET(WardensTauntDD,0,Level)))+IF($E6&lt;&gt;"",CHOOSE($E6,MainHandDmg,OFFSET(ShieldBashDD,0,Level),OFFSET(WardensTauntDD,0,Level)))+IF($F6&lt;&gt;"",CHOOSE($F6,MainHandDmg,OFFSET(ShieldBashDD,0,Level),OFFSET(WardensTauntDD,0,Level)))+IF($G6&lt;&gt;"",CHOOSE($G6,MainHandDmg,OFFSET(ShieldBashDD,0,Level),OFFSET(WardensTauntDD,0,Level)))+1*OFFSET(GoadDD,0,Level)</f>
        <v>55</v>
      </c>
      <c r="I6" s="43">
        <f ca="1">IF($C6&lt;&gt;0,CHOOSE($C6,0,0,OFFSET(WardensTauntDoT,0,Level)))+IF($D6&lt;&gt;0,CHOOSE($D6,0,0,OFFSET(WardensTauntDoT,0,Level)))+IF($E6&lt;&gt;0,CHOOSE($E6,0,0,OFFSET(WardensTauntDoT,0,Level)))+IF($F6&lt;&gt;0,CHOOSE($F6,0,0,OFFSET(WardensTauntDoT,0,Level)))+IF($G6&lt;&gt;0,CHOOSE($G6,0,0,OFFSET(WardensTauntDoT,0,Level)))+1*OFFSET(GoadDoT,0,Level)*(1+0.05*NOT(ISBLANK(TerribleVisage))+IF(WayoftheFist4="",0,0.05))*(4+NOT(ISBLANK(Confidence))+IF(WayoftheFist3="",0,1))</f>
        <v>42</v>
      </c>
      <c r="J6" s="44">
        <f t="shared" ca="1" si="0"/>
        <v>97</v>
      </c>
      <c r="K6" s="49">
        <f ca="1">IF($C6&lt;&gt;"",CHOOSE($C6,0,0,OFFSET(WardensTauntT,0,Level)))+IF($D6&lt;&gt;"",CHOOSE($D6,0,0,OFFSET(WardensTauntT,0,Level)))+IF($E6&lt;&gt;"",CHOOSE($E6,0,0,OFFSET(WardensTauntT,0,Level)))+IF($F6&lt;&gt;"",CHOOSE($F6,0,0,OFFSET(WardensTauntT,0,Level)))+IF($G6&lt;&gt;"",CHOOSE($G6,0,0,OFFSET(WardensTauntT,0,Level)))+1*OFFSET(GoadT,0,Level)</f>
        <v>2</v>
      </c>
      <c r="L6" s="43">
        <f ca="1">1*4*OFFSET(GoadToT,0,Level)</f>
        <v>2</v>
      </c>
      <c r="M6" s="44">
        <f t="shared" ca="1" si="1"/>
        <v>4</v>
      </c>
      <c r="N6" s="49"/>
      <c r="O6" s="43"/>
      <c r="P6" s="44">
        <f t="shared" si="2"/>
        <v>0</v>
      </c>
      <c r="Q6" s="49">
        <f t="shared" ca="1" si="3"/>
        <v>34</v>
      </c>
      <c r="R6" s="52">
        <f t="shared" ref="R6:R11" ca="1" si="8">OFFSET(GoadPwr,0,Level)</f>
        <v>41</v>
      </c>
      <c r="S6" s="44">
        <f t="shared" ca="1" si="4"/>
        <v>75</v>
      </c>
      <c r="T6" s="58">
        <f t="shared" ca="1" si="5"/>
        <v>1.2933333333333332</v>
      </c>
      <c r="U6" s="59">
        <f t="shared" ca="1" si="6"/>
        <v>5.3333333333333339</v>
      </c>
      <c r="V6" s="60">
        <f t="shared" ca="1" si="7"/>
        <v>0</v>
      </c>
      <c r="W6" s="3" t="s">
        <v>80</v>
      </c>
      <c r="X6" s="1"/>
    </row>
    <row r="7" spans="1:24" ht="15" hidden="1" customHeight="1" outlineLevel="1">
      <c r="A7" s="52">
        <v>4</v>
      </c>
      <c r="B7" s="26" t="s">
        <v>73</v>
      </c>
      <c r="C7" s="39">
        <v>3</v>
      </c>
      <c r="D7" s="41">
        <v>3</v>
      </c>
      <c r="E7" s="14"/>
      <c r="F7" s="14"/>
      <c r="G7" s="15"/>
      <c r="H7" s="50">
        <f ca="1">IF($C7&lt;&gt;"",CHOOSE($C7,MainHandDmg,OFFSET(ShieldBashDD,0,Level),OFFSET(WardensTauntDD,0,Level)))+IF($D7&lt;&gt;"",CHOOSE($D7,MainHandDmg,OFFSET(ShieldBashDD,0,Level),OFFSET(WardensTauntDD,0,Level)))+IF($E7&lt;&gt;"",CHOOSE($E7,MainHandDmg,OFFSET(ShieldBashDD,0,Level),OFFSET(WardensTauntDD,0,Level)))+IF($F7&lt;&gt;"",CHOOSE($F7,MainHandDmg,OFFSET(ShieldBashDD,0,Level),OFFSET(WardensTauntDD,0,Level)))+IF($G7&lt;&gt;"",CHOOSE($G7,MainHandDmg,OFFSET(ShieldBashDD,0,Level),OFFSET(WardensTauntDD,0,Level)))+2*OFFSET(GoadDD,0,Level)</f>
        <v>84</v>
      </c>
      <c r="I7" s="52">
        <f ca="1">IF($C7&lt;&gt;0,CHOOSE($C7,0,0,OFFSET(WardensTauntDoT,0,Level)))+IF($D7&lt;&gt;0,CHOOSE($D7,0,0,OFFSET(WardensTauntDoT,0,Level)))+IF($E7&lt;&gt;0,CHOOSE($E7,0,0,OFFSET(WardensTauntDoT,0,Level)))+IF($F7&lt;&gt;0,CHOOSE($F7,0,0,OFFSET(WardensTauntDoT,0,Level)))+IF($G7&lt;&gt;0,CHOOSE($G7,0,0,OFFSET(WardensTauntDoT,0,Level)))+2*OFFSET(GoadDoT,0,Level)*(1+0.05*NOT(ISBLANK(TerribleVisage))+IF(WayoftheFist4="",0,0.05))*(4+NOT(ISBLANK(Confidence))+IF(WayoftheFist3="",0,1))</f>
        <v>70</v>
      </c>
      <c r="J7" s="26">
        <f t="shared" ca="1" si="0"/>
        <v>154</v>
      </c>
      <c r="K7" s="50">
        <f ca="1">IF($C7&lt;&gt;"",CHOOSE($C7,0,0,OFFSET(WardensTauntT,0,Level)))+IF($D7&lt;&gt;"",CHOOSE($D7,0,0,OFFSET(WardensTauntT,0,Level)))+IF($E7&lt;&gt;"",CHOOSE($E7,0,0,OFFSET(WardensTauntT,0,Level)))+IF($F7&lt;&gt;"",CHOOSE($F7,0,0,OFFSET(WardensTauntT,0,Level)))+IF($G7&lt;&gt;"",CHOOSE($G7,0,0,OFFSET(WardensTauntT,0,Level)))+2*OFFSET(GoadT,0,Level)</f>
        <v>3</v>
      </c>
      <c r="L7" s="52">
        <f ca="1">2*4*OFFSET(GoadToT,0,Level)</f>
        <v>4</v>
      </c>
      <c r="M7" s="26">
        <f t="shared" ca="1" si="1"/>
        <v>7</v>
      </c>
      <c r="N7" s="50"/>
      <c r="O7" s="52"/>
      <c r="P7" s="26">
        <f t="shared" si="2"/>
        <v>0</v>
      </c>
      <c r="Q7" s="50">
        <f t="shared" ca="1" si="3"/>
        <v>34</v>
      </c>
      <c r="R7" s="52">
        <f t="shared" ca="1" si="8"/>
        <v>41</v>
      </c>
      <c r="S7" s="26">
        <f t="shared" ca="1" si="4"/>
        <v>75</v>
      </c>
      <c r="T7" s="61">
        <f t="shared" ca="1" si="5"/>
        <v>2.0533333333333332</v>
      </c>
      <c r="U7" s="62">
        <f t="shared" ca="1" si="6"/>
        <v>9.3333333333333339</v>
      </c>
      <c r="V7" s="63">
        <f t="shared" ca="1" si="7"/>
        <v>0</v>
      </c>
      <c r="W7" s="3"/>
      <c r="X7" s="1"/>
    </row>
    <row r="8" spans="1:24" ht="15" hidden="1" customHeight="1" outlineLevel="1">
      <c r="A8" s="52">
        <v>4</v>
      </c>
      <c r="B8" s="26" t="s">
        <v>74</v>
      </c>
      <c r="C8" s="39">
        <v>3</v>
      </c>
      <c r="D8" s="41">
        <v>3</v>
      </c>
      <c r="E8" s="14"/>
      <c r="F8" s="14"/>
      <c r="G8" s="15"/>
      <c r="H8" s="50">
        <f ca="1">IF($C8&lt;&gt;"",CHOOSE($C8,MainHandDmg,OFFSET(ShieldBashDD,0,Level),OFFSET(WardensTauntDD,0,Level)))+IF($D8&lt;&gt;"",CHOOSE($D8,MainHandDmg,OFFSET(ShieldBashDD,0,Level),OFFSET(WardensTauntDD,0,Level)))+IF($E8&lt;&gt;"",CHOOSE($E8,MainHandDmg,OFFSET(ShieldBashDD,0,Level),OFFSET(WardensTauntDD,0,Level)))+IF($F8&lt;&gt;"",CHOOSE($F8,MainHandDmg,OFFSET(ShieldBashDD,0,Level),OFFSET(WardensTauntDD,0,Level)))+IF($G8&lt;&gt;"",CHOOSE($G8,MainHandDmg,OFFSET(ShieldBashDD,0,Level),OFFSET(WardensTauntDD,0,Level)))+3*OFFSET(GoadDD,0,Level)</f>
        <v>113</v>
      </c>
      <c r="I8" s="52">
        <f ca="1">IF($C8&lt;&gt;0,CHOOSE($C8,0,0,OFFSET(WardensTauntDoT,0,Level)))+IF($D8&lt;&gt;0,CHOOSE($D8,0,0,OFFSET(WardensTauntDoT,0,Level)))+IF($E8&lt;&gt;0,CHOOSE($E8,0,0,OFFSET(WardensTauntDoT,0,Level)))+IF($F8&lt;&gt;0,CHOOSE($F8,0,0,OFFSET(WardensTauntDoT,0,Level)))+IF($G8&lt;&gt;0,CHOOSE($G8,0,0,OFFSET(WardensTauntDoT,0,Level)))+3*OFFSET(GoadDoT,0,Level)*(1+0.05*NOT(ISBLANK(TerribleVisage))+IF(WayoftheFist4="",0,0.05))*(4+NOT(ISBLANK(Confidence))+IF(WayoftheFist3="",0,1))</f>
        <v>98</v>
      </c>
      <c r="J8" s="26">
        <f t="shared" ca="1" si="0"/>
        <v>211</v>
      </c>
      <c r="K8" s="50">
        <f ca="1">IF($C8&lt;&gt;"",CHOOSE($C8,0,0,OFFSET(WardensTauntT,0,Level)))+IF($D8&lt;&gt;"",CHOOSE($D8,0,0,OFFSET(WardensTauntT,0,Level)))+IF($E8&lt;&gt;"",CHOOSE($E8,0,0,OFFSET(WardensTauntT,0,Level)))+IF($F8&lt;&gt;"",CHOOSE($F8,0,0,OFFSET(WardensTauntT,0,Level)))+IF($G8&lt;&gt;"",CHOOSE($G8,0,0,OFFSET(WardensTauntT,0,Level)))+3*OFFSET(GoadT,0,Level)</f>
        <v>4</v>
      </c>
      <c r="L8" s="52">
        <f ca="1">3*4*OFFSET(GoadToT,0,Level)</f>
        <v>6</v>
      </c>
      <c r="M8" s="26">
        <f t="shared" ca="1" si="1"/>
        <v>10</v>
      </c>
      <c r="N8" s="50"/>
      <c r="O8" s="52"/>
      <c r="P8" s="26">
        <f t="shared" si="2"/>
        <v>0</v>
      </c>
      <c r="Q8" s="50">
        <f t="shared" ca="1" si="3"/>
        <v>34</v>
      </c>
      <c r="R8" s="52">
        <f t="shared" ca="1" si="8"/>
        <v>41</v>
      </c>
      <c r="S8" s="26">
        <f t="shared" ca="1" si="4"/>
        <v>75</v>
      </c>
      <c r="T8" s="61">
        <f t="shared" ca="1" si="5"/>
        <v>2.8133333333333335</v>
      </c>
      <c r="U8" s="62">
        <f t="shared" ca="1" si="6"/>
        <v>13.333333333333334</v>
      </c>
      <c r="V8" s="63">
        <f t="shared" ca="1" si="7"/>
        <v>0</v>
      </c>
      <c r="W8" s="3"/>
      <c r="X8" s="1"/>
    </row>
    <row r="9" spans="1:24" ht="15" hidden="1" customHeight="1" outlineLevel="2">
      <c r="A9" s="52">
        <v>4</v>
      </c>
      <c r="B9" s="26" t="s">
        <v>75</v>
      </c>
      <c r="C9" s="39">
        <v>3</v>
      </c>
      <c r="D9" s="41">
        <v>3</v>
      </c>
      <c r="E9" s="14"/>
      <c r="F9" s="14"/>
      <c r="G9" s="15"/>
      <c r="H9" s="50">
        <f ca="1">IF($C9&lt;&gt;"",CHOOSE($C9,MainHandDmg,OFFSET(ShieldBashDD,0,Level),OFFSET(WardensTauntDD,0,Level)))+IF($D9&lt;&gt;"",CHOOSE($D9,MainHandDmg,OFFSET(ShieldBashDD,0,Level),OFFSET(WardensTauntDD,0,Level)))+IF($E9&lt;&gt;"",CHOOSE($E9,MainHandDmg,OFFSET(ShieldBashDD,0,Level),OFFSET(WardensTauntDD,0,Level)))+IF($F9&lt;&gt;"",CHOOSE($F9,MainHandDmg,OFFSET(ShieldBashDD,0,Level),OFFSET(WardensTauntDD,0,Level)))+IF($G9&lt;&gt;"",CHOOSE($G9,MainHandDmg,OFFSET(ShieldBashDD,0,Level),OFFSET(WardensTauntDD,0,Level)))+4*OFFSET(GoadDD,0,Level)</f>
        <v>142</v>
      </c>
      <c r="I9" s="52">
        <f ca="1">IF($C9&lt;&gt;0,CHOOSE($C9,0,0,OFFSET(WardensTauntDoT,0,Level)))+IF($D9&lt;&gt;0,CHOOSE($D9,0,0,OFFSET(WardensTauntDoT,0,Level)))+IF($E9&lt;&gt;0,CHOOSE($E9,0,0,OFFSET(WardensTauntDoT,0,Level)))+IF($F9&lt;&gt;0,CHOOSE($F9,0,0,OFFSET(WardensTauntDoT,0,Level)))+IF($G9&lt;&gt;0,CHOOSE($G9,0,0,OFFSET(WardensTauntDoT,0,Level)))+4*OFFSET(GoadDoT,0,Level)*(1+0.05*NOT(ISBLANK(TerribleVisage))+IF(WayoftheFist4="",0,0.05))*(4+NOT(ISBLANK(Confidence))+IF(WayoftheFist3="",0,1))</f>
        <v>126</v>
      </c>
      <c r="J9" s="26">
        <f t="shared" ca="1" si="0"/>
        <v>268</v>
      </c>
      <c r="K9" s="50">
        <f ca="1">IF($C9&lt;&gt;"",CHOOSE($C9,0,0,OFFSET(WardensTauntT,0,Level)))+IF($D9&lt;&gt;"",CHOOSE($D9,0,0,OFFSET(WardensTauntT,0,Level)))+IF($E9&lt;&gt;"",CHOOSE($E9,0,0,OFFSET(WardensTauntT,0,Level)))+IF($F9&lt;&gt;"",CHOOSE($F9,0,0,OFFSET(WardensTauntT,0,Level)))+IF($G9&lt;&gt;"",CHOOSE($G9,0,0,OFFSET(WardensTauntT,0,Level)))+4*OFFSET(GoadT,0,Level)</f>
        <v>5</v>
      </c>
      <c r="L9" s="52">
        <f ca="1">4*4*OFFSET(GoadToT,0,Level)</f>
        <v>8</v>
      </c>
      <c r="M9" s="26">
        <f t="shared" ca="1" si="1"/>
        <v>13</v>
      </c>
      <c r="N9" s="50"/>
      <c r="O9" s="52"/>
      <c r="P9" s="26">
        <f t="shared" si="2"/>
        <v>0</v>
      </c>
      <c r="Q9" s="50">
        <f t="shared" ca="1" si="3"/>
        <v>34</v>
      </c>
      <c r="R9" s="52">
        <f t="shared" ca="1" si="8"/>
        <v>41</v>
      </c>
      <c r="S9" s="26">
        <f t="shared" ca="1" si="4"/>
        <v>75</v>
      </c>
      <c r="T9" s="61">
        <f t="shared" ca="1" si="5"/>
        <v>3.5733333333333333</v>
      </c>
      <c r="U9" s="62">
        <f t="shared" ca="1" si="6"/>
        <v>17.333333333333336</v>
      </c>
      <c r="V9" s="63">
        <f t="shared" ca="1" si="7"/>
        <v>0</v>
      </c>
      <c r="W9" s="3" t="s">
        <v>78</v>
      </c>
      <c r="X9" s="1"/>
    </row>
    <row r="10" spans="1:24" ht="15" hidden="1" customHeight="1" outlineLevel="2">
      <c r="A10" s="52">
        <v>4</v>
      </c>
      <c r="B10" s="26" t="s">
        <v>76</v>
      </c>
      <c r="C10" s="39">
        <v>3</v>
      </c>
      <c r="D10" s="41">
        <v>3</v>
      </c>
      <c r="E10" s="14"/>
      <c r="F10" s="14"/>
      <c r="G10" s="15"/>
      <c r="H10" s="50">
        <f ca="1">IF($C10&lt;&gt;"",CHOOSE($C10,MainHandDmg,OFFSET(ShieldBashDD,0,Level),OFFSET(WardensTauntDD,0,Level)))+IF($D10&lt;&gt;"",CHOOSE($D10,MainHandDmg,OFFSET(ShieldBashDD,0,Level),OFFSET(WardensTauntDD,0,Level)))+IF($E10&lt;&gt;"",CHOOSE($E10,MainHandDmg,OFFSET(ShieldBashDD,0,Level),OFFSET(WardensTauntDD,0,Level)))+IF($F10&lt;&gt;"",CHOOSE($F10,MainHandDmg,OFFSET(ShieldBashDD,0,Level),OFFSET(WardensTauntDD,0,Level)))+IF($G10&lt;&gt;"",CHOOSE($G10,MainHandDmg,OFFSET(ShieldBashDD,0,Level),OFFSET(WardensTauntDD,0,Level)))+5*OFFSET(GoadDD,0,Level)</f>
        <v>171</v>
      </c>
      <c r="I10" s="52">
        <f ca="1">IF($C10&lt;&gt;0,CHOOSE($C10,0,0,OFFSET(WardensTauntDoT,0,Level)))+IF($D10&lt;&gt;0,CHOOSE($D10,0,0,OFFSET(WardensTauntDoT,0,Level)))+IF($E10&lt;&gt;0,CHOOSE($E10,0,0,OFFSET(WardensTauntDoT,0,Level)))+IF($F10&lt;&gt;0,CHOOSE($F10,0,0,OFFSET(WardensTauntDoT,0,Level)))+IF($G10&lt;&gt;0,CHOOSE($G10,0,0,OFFSET(WardensTauntDoT,0,Level)))+5*OFFSET(GoadDoT,0,Level)*(1+0.05*NOT(ISBLANK(TerribleVisage))+IF(WayoftheFist4="",0,0.05))*(4+NOT(ISBLANK(Confidence))+IF(WayoftheFist3="",0,1))</f>
        <v>154</v>
      </c>
      <c r="J10" s="26">
        <f t="shared" ca="1" si="0"/>
        <v>325</v>
      </c>
      <c r="K10" s="50">
        <f ca="1">IF($C10&lt;&gt;"",CHOOSE($C10,0,0,OFFSET(WardensTauntT,0,Level)))+IF($D10&lt;&gt;"",CHOOSE($D10,0,0,OFFSET(WardensTauntT,0,Level)))+IF($E10&lt;&gt;"",CHOOSE($E10,0,0,OFFSET(WardensTauntT,0,Level)))+IF($F10&lt;&gt;"",CHOOSE($F10,0,0,OFFSET(WardensTauntT,0,Level)))+IF($G10&lt;&gt;"",CHOOSE($G10,0,0,OFFSET(WardensTauntT,0,Level)))+5*OFFSET(GoadT,0,Level)</f>
        <v>6</v>
      </c>
      <c r="L10" s="52">
        <f ca="1">5*4*OFFSET(GoadToT,0,Level)</f>
        <v>10</v>
      </c>
      <c r="M10" s="26">
        <f t="shared" ca="1" si="1"/>
        <v>16</v>
      </c>
      <c r="N10" s="50"/>
      <c r="O10" s="52"/>
      <c r="P10" s="26">
        <f t="shared" si="2"/>
        <v>0</v>
      </c>
      <c r="Q10" s="50">
        <f t="shared" ca="1" si="3"/>
        <v>34</v>
      </c>
      <c r="R10" s="52">
        <f t="shared" ca="1" si="8"/>
        <v>41</v>
      </c>
      <c r="S10" s="26">
        <f t="shared" ca="1" si="4"/>
        <v>75</v>
      </c>
      <c r="T10" s="61">
        <f t="shared" ca="1" si="5"/>
        <v>4.333333333333333</v>
      </c>
      <c r="U10" s="62">
        <f t="shared" ca="1" si="6"/>
        <v>21.333333333333336</v>
      </c>
      <c r="V10" s="63">
        <f t="shared" ca="1" si="7"/>
        <v>0</v>
      </c>
      <c r="W10" s="3" t="s">
        <v>78</v>
      </c>
      <c r="X10" s="1"/>
    </row>
    <row r="11" spans="1:24" ht="15" hidden="1" customHeight="1" outlineLevel="2">
      <c r="A11" s="46">
        <v>4</v>
      </c>
      <c r="B11" s="28" t="s">
        <v>77</v>
      </c>
      <c r="C11" s="55">
        <v>3</v>
      </c>
      <c r="D11" s="56">
        <v>3</v>
      </c>
      <c r="E11" s="20"/>
      <c r="F11" s="20"/>
      <c r="G11" s="21"/>
      <c r="H11" s="51">
        <f ca="1">IF($C11&lt;&gt;"",CHOOSE($C11,MainHandDmg,OFFSET(ShieldBashDD,0,Level),OFFSET(WardensTauntDD,0,Level)))+IF($D11&lt;&gt;"",CHOOSE($D11,MainHandDmg,OFFSET(ShieldBashDD,0,Level),OFFSET(WardensTauntDD,0,Level)))+IF($E11&lt;&gt;"",CHOOSE($E11,MainHandDmg,OFFSET(ShieldBashDD,0,Level),OFFSET(WardensTauntDD,0,Level)))+IF($F11&lt;&gt;"",CHOOSE($F11,MainHandDmg,OFFSET(ShieldBashDD,0,Level),OFFSET(WardensTauntDD,0,Level)))+IF($G11&lt;&gt;"",CHOOSE($G11,MainHandDmg,OFFSET(ShieldBashDD,0,Level),OFFSET(WardensTauntDD,0,Level)))+6*OFFSET(GoadDD,0,Level)</f>
        <v>200</v>
      </c>
      <c r="I11" s="46">
        <f ca="1">IF($C11&lt;&gt;0,CHOOSE($C11,0,0,OFFSET(WardensTauntDoT,0,Level)))+IF($D11&lt;&gt;0,CHOOSE($D11,0,0,OFFSET(WardensTauntDoT,0,Level)))+IF($E11&lt;&gt;0,CHOOSE($E11,0,0,OFFSET(WardensTauntDoT,0,Level)))+IF($F11&lt;&gt;0,CHOOSE($F11,0,0,OFFSET(WardensTauntDoT,0,Level)))+IF($G11&lt;&gt;0,CHOOSE($G11,0,0,OFFSET(WardensTauntDoT,0,Level)))+6*OFFSET(GoadDoT,0,Level)*(1+0.05*NOT(ISBLANK(TerribleVisage))+IF(WayoftheFist4="",0,0.05))*(4+NOT(ISBLANK(Confidence))+IF(WayoftheFist3="",0,1))</f>
        <v>182</v>
      </c>
      <c r="J11" s="28">
        <f t="shared" ca="1" si="0"/>
        <v>382</v>
      </c>
      <c r="K11" s="51">
        <f ca="1">IF($C11&lt;&gt;"",CHOOSE($C11,0,0,OFFSET(WardensTauntT,0,Level)))+IF($D11&lt;&gt;"",CHOOSE($D11,0,0,OFFSET(WardensTauntT,0,Level)))+IF($E11&lt;&gt;"",CHOOSE($E11,0,0,OFFSET(WardensTauntT,0,Level)))+IF($F11&lt;&gt;"",CHOOSE($F11,0,0,OFFSET(WardensTauntT,0,Level)))+IF($G11&lt;&gt;"",CHOOSE($G11,0,0,OFFSET(WardensTauntT,0,Level)))+6*OFFSET(GoadT,0,Level)</f>
        <v>7</v>
      </c>
      <c r="L11" s="46">
        <f ca="1">6*4*OFFSET(GoadToT,0,Level)</f>
        <v>12</v>
      </c>
      <c r="M11" s="28">
        <f t="shared" ca="1" si="1"/>
        <v>19</v>
      </c>
      <c r="N11" s="51"/>
      <c r="O11" s="46"/>
      <c r="P11" s="28">
        <f t="shared" si="2"/>
        <v>0</v>
      </c>
      <c r="Q11" s="51">
        <f t="shared" ca="1" si="3"/>
        <v>34</v>
      </c>
      <c r="R11" s="46">
        <f t="shared" ca="1" si="8"/>
        <v>41</v>
      </c>
      <c r="S11" s="28">
        <f t="shared" ca="1" si="4"/>
        <v>75</v>
      </c>
      <c r="T11" s="64">
        <f t="shared" ca="1" si="5"/>
        <v>5.0933333333333337</v>
      </c>
      <c r="U11" s="65">
        <f t="shared" ca="1" si="6"/>
        <v>25.333333333333336</v>
      </c>
      <c r="V11" s="66">
        <f t="shared" ca="1" si="7"/>
        <v>0</v>
      </c>
      <c r="W11" s="3" t="s">
        <v>78</v>
      </c>
      <c r="X11" s="1"/>
    </row>
    <row r="12" spans="1:24" ht="15" customHeight="1" collapsed="1">
      <c r="A12" s="43">
        <v>6</v>
      </c>
      <c r="B12" s="25" t="s">
        <v>16</v>
      </c>
      <c r="C12" s="11">
        <v>2</v>
      </c>
      <c r="D12" s="8">
        <v>1</v>
      </c>
      <c r="E12" s="9"/>
      <c r="F12" s="9"/>
      <c r="G12" s="10"/>
      <c r="H12" s="49">
        <f ca="1">IF($C12&lt;&gt;"",CHOOSE($C12,MainHandDmg,OFFSET(ShieldBashDD,0,Level),OFFSET(WardensTauntDD,0,Level)))+IF($D12&lt;&gt;"",CHOOSE($D12,MainHandDmg,OFFSET(ShieldBashDD,0,Level),OFFSET(WardensTauntDD,0,Level)))+IF($E12&lt;&gt;"",CHOOSE($E12,MainHandDmg,OFFSET(ShieldBashDD,0,Level),OFFSET(WardensTauntDD,0,Level)))+IF($F12&lt;&gt;"",CHOOSE($F12,MainHandDmg,OFFSET(ShieldBashDD,0,Level),OFFSET(WardensTauntDD,0,Level)))+IF($G12&lt;&gt;"",CHOOSE($G12,MainHandDmg,OFFSET(ShieldBashDD,0,Level),OFFSET(WardensTauntDD,0,Level)))+(MainHandDmg+OFFSET(PersevereDD,0,Level))</f>
        <v>121</v>
      </c>
      <c r="I12" s="43">
        <f ca="1">IF($C12&lt;&gt;0,CHOOSE($C12,0,0,OFFSET(WardensTauntDoT,0,Level)))+IF($D12&lt;&gt;0,CHOOSE($D12,0,0,OFFSET(WardensTauntDoT,0,Level)))+IF($E12&lt;&gt;0,CHOOSE($E12,0,0,OFFSET(WardensTauntDoT,0,Level)))+IF($F12&lt;&gt;0,CHOOSE($F12,0,0,OFFSET(WardensTauntDoT,0,Level)))+IF($G12&lt;&gt;0,CHOOSE($G12,0,0,OFFSET(WardensTauntDoT,0,Level)))</f>
        <v>0</v>
      </c>
      <c r="J12" s="44">
        <f t="shared" ca="1" si="0"/>
        <v>121</v>
      </c>
      <c r="K12" s="49">
        <f ca="1">IF($C12&lt;&gt;"",CHOOSE($C12,0,0,OFFSET(WardensTauntT,0,Level)))+IF($D12&lt;&gt;"",CHOOSE($D12,0,0,OFFSET(WardensTauntT,0,Level)))+IF($E12&lt;&gt;"",CHOOSE($E12,0,0,OFFSET(WardensTauntT,0,Level)))+IF($F12&lt;&gt;"",CHOOSE($F12,0,0,OFFSET(WardensTauntT,0,Level)))+IF($G12&lt;&gt;"",CHOOSE($G12,0,0,OFFSET(WardensTauntT,0,Level)))</f>
        <v>0</v>
      </c>
      <c r="L12" s="43"/>
      <c r="M12" s="44">
        <f t="shared" ca="1" si="1"/>
        <v>0</v>
      </c>
      <c r="N12" s="49">
        <f ca="1">OFFSET(PersevereH,0,Level)</f>
        <v>21</v>
      </c>
      <c r="O12" s="43">
        <f ca="1">OFFSET(PersevereHoT,0,Level)*(2+NOT(ISBLANK(Perserverance))+NOT(ISBLANK(NeverSayDie)))*(IF(WayoftheShield4="",1,1.1))</f>
        <v>42</v>
      </c>
      <c r="P12" s="44">
        <f t="shared" ca="1" si="2"/>
        <v>63</v>
      </c>
      <c r="Q12" s="49">
        <f t="shared" ca="1" si="3"/>
        <v>36</v>
      </c>
      <c r="R12" s="43">
        <f ca="1">OFFSET(PerseverePwr,0,Level)*(1-0.05*(NOT(ISBLANK(EfficientShieldwork))))</f>
        <v>4</v>
      </c>
      <c r="S12" s="44">
        <f t="shared" ca="1" si="4"/>
        <v>40</v>
      </c>
      <c r="T12" s="58">
        <f t="shared" ca="1" si="5"/>
        <v>3.0249999999999999</v>
      </c>
      <c r="U12" s="59">
        <f t="shared" ca="1" si="6"/>
        <v>0</v>
      </c>
      <c r="V12" s="60">
        <f t="shared" ca="1" si="7"/>
        <v>1.575</v>
      </c>
      <c r="W12" s="3"/>
      <c r="X12" s="1"/>
    </row>
    <row r="13" spans="1:24" ht="15" customHeight="1">
      <c r="A13" s="52">
        <v>8</v>
      </c>
      <c r="B13" s="2" t="s">
        <v>17</v>
      </c>
      <c r="C13" s="27">
        <v>1</v>
      </c>
      <c r="D13" s="41">
        <v>3</v>
      </c>
      <c r="E13" s="14"/>
      <c r="F13" s="14"/>
      <c r="G13" s="15"/>
      <c r="H13" s="50">
        <f ca="1">IF($C13&lt;&gt;"",CHOOSE($C13,MainHandDmg,OFFSET(ShieldBashDD,0,Level),OFFSET(WardensTauntDD,0,Level)))+IF($D13&lt;&gt;"",CHOOSE($D13,MainHandDmg,OFFSET(ShieldBashDD,0,Level),OFFSET(WardensTauntDD,0,Level)))+IF($E13&lt;&gt;"",CHOOSE($E13,MainHandDmg,OFFSET(ShieldBashDD,0,Level),OFFSET(WardensTauntDD,0,Level)))+IF($F13&lt;&gt;"",CHOOSE($F13,MainHandDmg,OFFSET(ShieldBashDD,0,Level),OFFSET(WardensTauntDD,0,Level)))+IF($G13&lt;&gt;"",CHOOSE($G13,MainHandDmg,OFFSET(ShieldBashDD,0,Level),OFFSET(WardensTauntDD,0,Level)))+MainHandDmg*2*(1+0.05*NOT(ISBLANK(Veteran))+IF(WayoftheSpear4="",0,0.05))</f>
        <v>133</v>
      </c>
      <c r="I13" s="52">
        <f ca="1">IF($C13&lt;&gt;0,CHOOSE($C13,0,0,OFFSET(WardensTauntDoT,0,Level)))+IF($D13&lt;&gt;0,CHOOSE($D13,0,0,OFFSET(WardensTauntDoT,0,Level)))+IF($E13&lt;&gt;0,CHOOSE($E13,0,0,OFFSET(WardensTauntDoT,0,Level)))+IF($F13&lt;&gt;0,CHOOSE($F13,0,0,OFFSET(WardensTauntDoT,0,Level)))+IF($G13&lt;&gt;0,CHOOSE($G13,0,0,OFFSET(WardensTauntDoT,0,Level)))</f>
        <v>7</v>
      </c>
      <c r="J13" s="26">
        <f t="shared" ca="1" si="0"/>
        <v>140</v>
      </c>
      <c r="K13" s="50">
        <f ca="1">IF($C13&lt;&gt;"",CHOOSE($C13,0,0,OFFSET(WardensTauntT,0,Level)))+IF($D13&lt;&gt;"",CHOOSE($D13,0,0,OFFSET(WardensTauntT,0,Level)))+IF($E13&lt;&gt;"",CHOOSE($E13,0,0,OFFSET(WardensTauntT,0,Level)))+IF($F13&lt;&gt;"",CHOOSE($F13,0,0,OFFSET(WardensTauntT,0,Level)))+IF($G13&lt;&gt;"",CHOOSE($G13,0,0,OFFSET(WardensTauntT,0,Level)))+OFFSET(OffensiveStrikeT,0,Level)</f>
        <v>1</v>
      </c>
      <c r="L13" s="52"/>
      <c r="M13" s="26">
        <f t="shared" ca="1" si="1"/>
        <v>1</v>
      </c>
      <c r="N13" s="50"/>
      <c r="O13" s="52"/>
      <c r="P13" s="26">
        <f t="shared" si="2"/>
        <v>0</v>
      </c>
      <c r="Q13" s="50">
        <f t="shared" ca="1" si="3"/>
        <v>36</v>
      </c>
      <c r="R13" s="52">
        <f ca="1">OFFSET(OffensiveStrikePwr,0,Level)*(IF(WayoftheSpear2="",1,0.95))</f>
        <v>23</v>
      </c>
      <c r="S13" s="26">
        <f t="shared" ca="1" si="4"/>
        <v>59</v>
      </c>
      <c r="T13" s="61">
        <f t="shared" ca="1" si="5"/>
        <v>2.3728813559322033</v>
      </c>
      <c r="U13" s="62">
        <f t="shared" ca="1" si="6"/>
        <v>1.6949152542372881</v>
      </c>
      <c r="V13" s="63">
        <f t="shared" ca="1" si="7"/>
        <v>0</v>
      </c>
      <c r="W13" s="3"/>
      <c r="X13" s="1"/>
    </row>
    <row r="14" spans="1:24" ht="15" customHeight="1">
      <c r="A14" s="52">
        <v>9</v>
      </c>
      <c r="B14" s="2" t="s">
        <v>18</v>
      </c>
      <c r="C14" s="16">
        <v>2</v>
      </c>
      <c r="D14" s="41">
        <v>3</v>
      </c>
      <c r="E14" s="14"/>
      <c r="F14" s="14"/>
      <c r="G14" s="15"/>
      <c r="H14" s="50">
        <f ca="1">IF($C14&lt;&gt;"",CHOOSE($C14,MainHandDmg,OFFSET(ShieldBashDD,0,Level),OFFSET(WardensTauntDD,0,Level)))+IF($D14&lt;&gt;"",CHOOSE($D14,MainHandDmg,OFFSET(ShieldBashDD,0,Level),OFFSET(WardensTauntDD,0,Level)))+IF($E14&lt;&gt;"",CHOOSE($E14,MainHandDmg,OFFSET(ShieldBashDD,0,Level),OFFSET(WardensTauntDD,0,Level)))+IF($F14&lt;&gt;"",CHOOSE($F14,MainHandDmg,OFFSET(ShieldBashDD,0,Level),OFFSET(WardensTauntDD,0,Level)))+IF($G14&lt;&gt;"",CHOOSE($G14,MainHandDmg,OFFSET(ShieldBashDD,0,Level),OFFSET(WardensTauntDD,0,Level)))+OFFSET(ImpFlourishDD,0,Level)</f>
        <v>64</v>
      </c>
      <c r="I14" s="52">
        <f ca="1">IF($C14&lt;&gt;0,CHOOSE($C14,0,0,OFFSET(WardensTauntDoT,0,Level)))+IF($D14&lt;&gt;0,CHOOSE($D14,0,0,OFFSET(WardensTauntDoT,0,Level)))+IF($E14&lt;&gt;0,CHOOSE($E14,0,0,OFFSET(WardensTauntDoT,0,Level)))+IF($F14&lt;&gt;0,CHOOSE($F14,0,0,OFFSET(WardensTauntDoT,0,Level)))+IF($G14&lt;&gt;0,CHOOSE($G14,0,0,OFFSET(WardensTauntDoT,0,Level)))+OFFSET(ImpFlourishDoT,0,Level)*4</f>
        <v>31</v>
      </c>
      <c r="J14" s="26">
        <f t="shared" ca="1" si="0"/>
        <v>95</v>
      </c>
      <c r="K14" s="50">
        <f ca="1">IF($C14&lt;&gt;"",CHOOSE($C14,0,0,OFFSET(WardensTauntT,0,Level)))+IF($D14&lt;&gt;"",CHOOSE($D14,0,0,OFFSET(WardensTauntT,0,Level)))+IF($E14&lt;&gt;"",CHOOSE($E14,0,0,OFFSET(WardensTauntT,0,Level)))+IF($F14&lt;&gt;"",CHOOSE($F14,0,0,OFFSET(WardensTauntT,0,Level)))+IF($G14&lt;&gt;"",CHOOSE($G14,0,0,OFFSET(WardensTauntT,0,Level)))</f>
        <v>0.5</v>
      </c>
      <c r="L14" s="52"/>
      <c r="M14" s="26">
        <f t="shared" ca="1" si="1"/>
        <v>0.5</v>
      </c>
      <c r="N14" s="50">
        <f ca="1">OFFSET(ImpFlourishH,0,Level)</f>
        <v>13</v>
      </c>
      <c r="O14" s="52">
        <f ca="1">OFFSET(ImpFlourishHoT,0,Level)*(2+NOT(ISBLANK(Perserverance))+NOT(ISBLANK(NeverSayDie)))*(IF(WayoftheShield4="",1,1.1))</f>
        <v>26</v>
      </c>
      <c r="P14" s="26">
        <f t="shared" ca="1" si="2"/>
        <v>39</v>
      </c>
      <c r="Q14" s="50">
        <f t="shared" ca="1" si="3"/>
        <v>34</v>
      </c>
      <c r="R14" s="52">
        <f ca="1">OFFSET(ImpFlourishPwr,0,Level)*(1-0.05*(NOT(ISBLANK(EfficientShieldwork))))</f>
        <v>33</v>
      </c>
      <c r="S14" s="26">
        <f t="shared" ca="1" si="4"/>
        <v>67</v>
      </c>
      <c r="T14" s="61">
        <f t="shared" ca="1" si="5"/>
        <v>1.4179104477611941</v>
      </c>
      <c r="U14" s="62">
        <f t="shared" ca="1" si="6"/>
        <v>0.74626865671641784</v>
      </c>
      <c r="V14" s="63">
        <f t="shared" ca="1" si="7"/>
        <v>0.58208955223880599</v>
      </c>
      <c r="W14" s="3"/>
      <c r="X14" s="1"/>
    </row>
    <row r="15" spans="1:24" ht="15" customHeight="1">
      <c r="A15" s="46">
        <v>12</v>
      </c>
      <c r="B15" s="6" t="s">
        <v>19</v>
      </c>
      <c r="C15" s="55">
        <v>3</v>
      </c>
      <c r="D15" s="29">
        <v>1</v>
      </c>
      <c r="E15" s="20"/>
      <c r="F15" s="20"/>
      <c r="G15" s="21"/>
      <c r="H15" s="51">
        <f ca="1">IF($C15&lt;&gt;"",CHOOSE($C15,MainHandDmg,OFFSET(ShieldBashDD,0,Level),OFFSET(WardensTauntDD,0,Level)))+IF($D15&lt;&gt;"",CHOOSE($D15,MainHandDmg,OFFSET(ShieldBashDD,0,Level),OFFSET(WardensTauntDD,0,Level)))+IF($E15&lt;&gt;"",CHOOSE($E15,MainHandDmg,OFFSET(ShieldBashDD,0,Level),OFFSET(WardensTauntDD,0,Level)))+IF($F15&lt;&gt;"",CHOOSE($F15,MainHandDmg,OFFSET(ShieldBashDD,0,Level),OFFSET(WardensTauntDD,0,Level)))+IF($G15&lt;&gt;"",CHOOSE($G15,MainHandDmg,OFFSET(ShieldBashDD,0,Level),OFFSET(WardensTauntDD,0,Level)))+(MainHandDmg+OFFSET(PreciseBlowDD,0,Level))*(1+0.15*NOT(ISBLANK(AKeenResponse)))</f>
        <v>105</v>
      </c>
      <c r="I15" s="46">
        <f ca="1">IF($C15&lt;&gt;0,CHOOSE($C15,0,0,OFFSET(WardensTauntDoT,0,Level)))+IF($D15&lt;&gt;0,CHOOSE($D15,0,0,OFFSET(WardensTauntDoT,0,Level)))+IF($E15&lt;&gt;0,CHOOSE($E15,0,0,OFFSET(WardensTauntDoT,0,Level)))+IF($F15&lt;&gt;0,CHOOSE($F15,0,0,OFFSET(WardensTauntDoT,0,Level)))+IF($G15&lt;&gt;0,CHOOSE($G15,0,0,OFFSET(WardensTauntDoT,0,Level)))</f>
        <v>7</v>
      </c>
      <c r="J15" s="28">
        <f t="shared" ca="1" si="0"/>
        <v>112</v>
      </c>
      <c r="K15" s="51">
        <f ca="1">IF($C15&lt;&gt;"",CHOOSE($C15,0,0,OFFSET(WardensTauntT,0,Level)))+IF($D15&lt;&gt;"",CHOOSE($D15,0,0,OFFSET(WardensTauntT,0,Level)))+IF($E15&lt;&gt;"",CHOOSE($E15,0,0,OFFSET(WardensTauntT,0,Level)))+IF($F15&lt;&gt;"",CHOOSE($F15,0,0,OFFSET(WardensTauntT,0,Level)))+IF($G15&lt;&gt;"",CHOOSE($G15,0,0,OFFSET(WardensTauntT,0,Level)))+OFFSET(PreciseBlowT,0,Level)</f>
        <v>2.5</v>
      </c>
      <c r="L15" s="46">
        <f ca="1">4*OFFSET(PreciseBlowToT,0,Level)</f>
        <v>2</v>
      </c>
      <c r="M15" s="28">
        <f t="shared" ca="1" si="1"/>
        <v>4.5</v>
      </c>
      <c r="N15" s="51"/>
      <c r="O15" s="46"/>
      <c r="P15" s="28">
        <f t="shared" si="2"/>
        <v>0</v>
      </c>
      <c r="Q15" s="51">
        <f t="shared" ca="1" si="3"/>
        <v>36</v>
      </c>
      <c r="R15" s="46">
        <f ca="1">OFFSET(PreciseBlowPwr,0,Level)</f>
        <v>32</v>
      </c>
      <c r="S15" s="28">
        <f t="shared" ca="1" si="4"/>
        <v>68</v>
      </c>
      <c r="T15" s="64">
        <f t="shared" ca="1" si="5"/>
        <v>1.6470588235294117</v>
      </c>
      <c r="U15" s="65">
        <f t="shared" ca="1" si="6"/>
        <v>6.6176470588235299</v>
      </c>
      <c r="V15" s="66">
        <f t="shared" ca="1" si="7"/>
        <v>0</v>
      </c>
      <c r="W15" s="3"/>
      <c r="X15" s="1"/>
    </row>
    <row r="16" spans="1:24" ht="15" customHeight="1">
      <c r="A16" s="43">
        <v>13</v>
      </c>
      <c r="B16" s="25" t="s">
        <v>81</v>
      </c>
      <c r="C16" s="53">
        <v>3</v>
      </c>
      <c r="D16" s="12">
        <v>2</v>
      </c>
      <c r="E16" s="9"/>
      <c r="F16" s="9"/>
      <c r="G16" s="10"/>
      <c r="H16" s="49">
        <f ca="1">IF($C16&lt;&gt;"",CHOOSE($C16,MainHandDmg,OFFSET(ShieldBashDD,0,Level),OFFSET(WardensTauntDD,0,Level)))+IF($D16&lt;&gt;"",CHOOSE($D16,MainHandDmg,OFFSET(ShieldBashDD,0,Level),OFFSET(WardensTauntDD,0,Level)))+IF($E16&lt;&gt;"",CHOOSE($E16,MainHandDmg,OFFSET(ShieldBashDD,0,Level),OFFSET(WardensTauntDD,0,Level)))+IF($F16&lt;&gt;"",CHOOSE($F16,MainHandDmg,OFFSET(ShieldBashDD,0,Level),OFFSET(WardensTauntDD,0,Level)))+IF($G16&lt;&gt;"",CHOOSE($G16,MainHandDmg,OFFSET(ShieldBashDD,0,Level),OFFSET(WardensTauntDD,0,Level)))</f>
        <v>37</v>
      </c>
      <c r="I16" s="43">
        <f ca="1">IF($C16&lt;&gt;0,CHOOSE($C16,0,0,OFFSET(WardensTauntDoT,0,Level)))+IF($D16&lt;&gt;0,CHOOSE($D16,0,0,OFFSET(WardensTauntDoT,0,Level)))+IF($E16&lt;&gt;0,CHOOSE($E16,0,0,OFFSET(WardensTauntDoT,0,Level)))+IF($F16&lt;&gt;0,CHOOSE($F16,0,0,OFFSET(WardensTauntDoT,0,Level)))+IF($G16&lt;&gt;0,CHOOSE($G16,0,0,OFFSET(WardensTauntDoT,0,Level)))+1*OFFSET(WarCryDoT,0,Level)*(1+0.05*NOT(ISBLANK(TerribleVisage))+IF(WayoftheFist4="",0,0.05))*(4+NOT(ISBLANK(Confidence))+IF(WayoftheFist3="",0,1))</f>
        <v>31</v>
      </c>
      <c r="J16" s="44">
        <f t="shared" ca="1" si="0"/>
        <v>68</v>
      </c>
      <c r="K16" s="49">
        <f ca="1">IF($C16&lt;&gt;"",CHOOSE($C16,0,0,OFFSET(WardensTauntT,0,Level)))+IF($D16&lt;&gt;"",CHOOSE($D16,0,0,OFFSET(WardensTauntT,0,Level)))+IF($E16&lt;&gt;"",CHOOSE($E16,0,0,OFFSET(WardensTauntT,0,Level)))+IF($F16&lt;&gt;"",CHOOSE($F16,0,0,OFFSET(WardensTauntT,0,Level)))+IF($G16&lt;&gt;"",CHOOSE($G16,0,0,OFFSET(WardensTauntT,0,Level)))+1*OFFSET(WarCryT,0,Level)</f>
        <v>1</v>
      </c>
      <c r="L16" s="43">
        <f ca="1">1*OFFSET(WarCryToT,0,Level)*4</f>
        <v>2</v>
      </c>
      <c r="M16" s="44">
        <f t="shared" ca="1" si="1"/>
        <v>3</v>
      </c>
      <c r="N16" s="49">
        <f t="shared" ref="N16:N25" ca="1" si="9">OFFSET(WarCryH,0,Level)</f>
        <v>13</v>
      </c>
      <c r="O16" s="43">
        <f t="shared" ref="O16:O25" ca="1" si="10">OFFSET(WarCryHoT,0,Level)*(2+NOT(ISBLANK(Perserverance))+NOT(ISBLANK(NeverSayDie)))*(IF(WayoftheShield4="",1,1.1))</f>
        <v>26</v>
      </c>
      <c r="P16" s="44">
        <f t="shared" ca="1" si="2"/>
        <v>39</v>
      </c>
      <c r="Q16" s="49">
        <f t="shared" ca="1" si="3"/>
        <v>34</v>
      </c>
      <c r="R16" s="43">
        <f t="shared" ref="R16:R25" ca="1" si="11">OFFSET(WarCryPwr,0,Level)</f>
        <v>41</v>
      </c>
      <c r="S16" s="44">
        <f t="shared" ca="1" si="4"/>
        <v>75</v>
      </c>
      <c r="T16" s="58">
        <f t="shared" ca="1" si="5"/>
        <v>0.90666666666666662</v>
      </c>
      <c r="U16" s="59">
        <f t="shared" ca="1" si="6"/>
        <v>4</v>
      </c>
      <c r="V16" s="60">
        <f t="shared" ca="1" si="7"/>
        <v>0.52</v>
      </c>
      <c r="W16" s="3" t="s">
        <v>20</v>
      </c>
      <c r="X16" s="1"/>
    </row>
    <row r="17" spans="1:24" ht="15" hidden="1" customHeight="1" outlineLevel="1">
      <c r="A17" s="52">
        <v>13</v>
      </c>
      <c r="B17" s="26" t="s">
        <v>82</v>
      </c>
      <c r="C17" s="39">
        <v>3</v>
      </c>
      <c r="D17" s="17">
        <v>2</v>
      </c>
      <c r="E17" s="14"/>
      <c r="F17" s="14"/>
      <c r="G17" s="15"/>
      <c r="H17" s="50">
        <f t="shared" ref="H17:H25" ca="1" si="12">IF($C17&lt;&gt;"",CHOOSE($C17,MainHandDmg,OFFSET(ShieldBashDD,0,Level),OFFSET(WardensTauntDD,0,Level)))+IF($D17&lt;&gt;"",CHOOSE($D17,MainHandDmg,OFFSET(ShieldBashDD,0,Level),OFFSET(WardensTauntDD,0,Level)))+IF($E17&lt;&gt;"",CHOOSE($E17,MainHandDmg,OFFSET(ShieldBashDD,0,Level),OFFSET(WardensTauntDD,0,Level)))+IF($F17&lt;&gt;"",CHOOSE($F17,MainHandDmg,OFFSET(ShieldBashDD,0,Level),OFFSET(WardensTauntDD,0,Level)))+IF($G17&lt;&gt;"",CHOOSE($G17,MainHandDmg,OFFSET(ShieldBashDD,0,Level),OFFSET(WardensTauntDD,0,Level)))+MainHandDmg+OFFSET(DeftStrikeDD,0,Level)</f>
        <v>96</v>
      </c>
      <c r="I17" s="52">
        <f ca="1">IF($C17&lt;&gt;0,CHOOSE($C17,0,0,OFFSET(WardensTauntDoT,0,Level)))+IF($D17&lt;&gt;0,CHOOSE($D17,0,0,OFFSET(WardensTauntDoT,0,Level)))+IF($E17&lt;&gt;0,CHOOSE($E17,0,0,OFFSET(WardensTauntDoT,0,Level)))+IF($F17&lt;&gt;0,CHOOSE($F17,0,0,OFFSET(WardensTauntDoT,0,Level)))+IF($G17&lt;&gt;0,CHOOSE($G17,0,0,OFFSET(WardensTauntDoT,0,Level)))+2*OFFSET(WarCryDoT,0,Level)*(1+0.05*NOT(ISBLANK(TerribleVisage))+IF(WayoftheFist4="",0,0.05))*(4+NOT(ISBLANK(Confidence))+IF(WayoftheFist3="",0,1))</f>
        <v>55</v>
      </c>
      <c r="J17" s="26">
        <f t="shared" ca="1" si="0"/>
        <v>151</v>
      </c>
      <c r="K17" s="50">
        <f ca="1">IF($C17&lt;&gt;"",CHOOSE($C17,0,0,OFFSET(WardensTauntT,0,Level)))+IF($D17&lt;&gt;"",CHOOSE($D17,0,0,OFFSET(WardensTauntT,0,Level)))+IF($E17&lt;&gt;"",CHOOSE($E17,0,0,OFFSET(WardensTauntT,0,Level)))+IF($F17&lt;&gt;"",CHOOSE($F17,0,0,OFFSET(WardensTauntT,0,Level)))+IF($G17&lt;&gt;"",CHOOSE($G17,0,0,OFFSET(WardensTauntT,0,Level)))+2*OFFSET(WarCryT,0,Level)</f>
        <v>1.5</v>
      </c>
      <c r="L17" s="52">
        <f ca="1">2*OFFSET(WarCryToT,0,Level)*4</f>
        <v>4</v>
      </c>
      <c r="M17" s="26">
        <f t="shared" ca="1" si="1"/>
        <v>5.5</v>
      </c>
      <c r="N17" s="50">
        <f t="shared" ca="1" si="9"/>
        <v>13</v>
      </c>
      <c r="O17" s="52">
        <f t="shared" ca="1" si="10"/>
        <v>26</v>
      </c>
      <c r="P17" s="26">
        <f t="shared" ca="1" si="2"/>
        <v>39</v>
      </c>
      <c r="Q17" s="50">
        <f t="shared" ca="1" si="3"/>
        <v>34</v>
      </c>
      <c r="R17" s="52">
        <f t="shared" ca="1" si="11"/>
        <v>41</v>
      </c>
      <c r="S17" s="26">
        <f t="shared" ca="1" si="4"/>
        <v>75</v>
      </c>
      <c r="T17" s="61">
        <f t="shared" ca="1" si="5"/>
        <v>2.0133333333333332</v>
      </c>
      <c r="U17" s="62">
        <f t="shared" ca="1" si="6"/>
        <v>7.333333333333333</v>
      </c>
      <c r="V17" s="63">
        <f t="shared" ca="1" si="7"/>
        <v>0.52</v>
      </c>
      <c r="W17" s="3"/>
      <c r="X17" s="1"/>
    </row>
    <row r="18" spans="1:24" ht="15" hidden="1" customHeight="1" outlineLevel="1">
      <c r="A18" s="52">
        <v>13</v>
      </c>
      <c r="B18" s="26" t="s">
        <v>83</v>
      </c>
      <c r="C18" s="39">
        <v>3</v>
      </c>
      <c r="D18" s="17">
        <v>2</v>
      </c>
      <c r="E18" s="14"/>
      <c r="F18" s="14"/>
      <c r="G18" s="15"/>
      <c r="H18" s="50">
        <f t="shared" ca="1" si="12"/>
        <v>96</v>
      </c>
      <c r="I18" s="52">
        <f ca="1">IF($C18&lt;&gt;0,CHOOSE($C18,0,0,OFFSET(WardensTauntDoT,0,Level)))+IF($D18&lt;&gt;0,CHOOSE($D18,0,0,OFFSET(WardensTauntDoT,0,Level)))+IF($E18&lt;&gt;0,CHOOSE($E18,0,0,OFFSET(WardensTauntDoT,0,Level)))+IF($F18&lt;&gt;0,CHOOSE($F18,0,0,OFFSET(WardensTauntDoT,0,Level)))+IF($G18&lt;&gt;0,CHOOSE($G18,0,0,OFFSET(WardensTauntDoT,0,Level)))+3*OFFSET(WarCryDoT,0,Level)*(1+0.05*NOT(ISBLANK(TerribleVisage))+IF(WayoftheFist4="",0,0.05))*(4+NOT(ISBLANK(Confidence))+IF(WayoftheFist3="",0,1))</f>
        <v>79</v>
      </c>
      <c r="J18" s="26">
        <f t="shared" ca="1" si="0"/>
        <v>175</v>
      </c>
      <c r="K18" s="50">
        <f ca="1">IF($C18&lt;&gt;"",CHOOSE($C18,0,0,OFFSET(WardensTauntT,0,Level)))+IF($D18&lt;&gt;"",CHOOSE($D18,0,0,OFFSET(WardensTauntT,0,Level)))+IF($E18&lt;&gt;"",CHOOSE($E18,0,0,OFFSET(WardensTauntT,0,Level)))+IF($F18&lt;&gt;"",CHOOSE($F18,0,0,OFFSET(WardensTauntT,0,Level)))+IF($G18&lt;&gt;"",CHOOSE($G18,0,0,OFFSET(WardensTauntT,0,Level)))+3*OFFSET(WarCryT,0,Level)</f>
        <v>2</v>
      </c>
      <c r="L18" s="52">
        <f ca="1">3*OFFSET(WarCryToT,0,Level)*4</f>
        <v>6</v>
      </c>
      <c r="M18" s="26">
        <f t="shared" ca="1" si="1"/>
        <v>8</v>
      </c>
      <c r="N18" s="50">
        <f t="shared" ca="1" si="9"/>
        <v>13</v>
      </c>
      <c r="O18" s="52">
        <f t="shared" ca="1" si="10"/>
        <v>26</v>
      </c>
      <c r="P18" s="26">
        <f t="shared" ca="1" si="2"/>
        <v>39</v>
      </c>
      <c r="Q18" s="50">
        <f t="shared" ca="1" si="3"/>
        <v>34</v>
      </c>
      <c r="R18" s="52">
        <f t="shared" ca="1" si="11"/>
        <v>41</v>
      </c>
      <c r="S18" s="26">
        <f t="shared" ca="1" si="4"/>
        <v>75</v>
      </c>
      <c r="T18" s="61">
        <f t="shared" ca="1" si="5"/>
        <v>2.3333333333333335</v>
      </c>
      <c r="U18" s="62">
        <f t="shared" ca="1" si="6"/>
        <v>10.666666666666668</v>
      </c>
      <c r="V18" s="63">
        <f t="shared" ca="1" si="7"/>
        <v>0.52</v>
      </c>
      <c r="W18" s="3"/>
      <c r="X18" s="1"/>
    </row>
    <row r="19" spans="1:24" ht="15" hidden="1" customHeight="1" outlineLevel="1">
      <c r="A19" s="52">
        <v>13</v>
      </c>
      <c r="B19" s="26" t="s">
        <v>84</v>
      </c>
      <c r="C19" s="39">
        <v>3</v>
      </c>
      <c r="D19" s="17">
        <v>2</v>
      </c>
      <c r="E19" s="14"/>
      <c r="F19" s="14"/>
      <c r="G19" s="15"/>
      <c r="H19" s="50">
        <f t="shared" ca="1" si="12"/>
        <v>96</v>
      </c>
      <c r="I19" s="52">
        <f ca="1">IF($C19&lt;&gt;0,CHOOSE($C19,0,0,OFFSET(WardensTauntDoT,0,Level)))+IF($D19&lt;&gt;0,CHOOSE($D19,0,0,OFFSET(WardensTauntDoT,0,Level)))+IF($E19&lt;&gt;0,CHOOSE($E19,0,0,OFFSET(WardensTauntDoT,0,Level)))+IF($F19&lt;&gt;0,CHOOSE($F19,0,0,OFFSET(WardensTauntDoT,0,Level)))+IF($G19&lt;&gt;0,CHOOSE($G19,0,0,OFFSET(WardensTauntDoT,0,Level)))+4*OFFSET(WarCryDoT,0,Level)*(1+0.05*NOT(ISBLANK(TerribleVisage))+IF(WayoftheFist4="",0,0.05))*(4+NOT(ISBLANK(Confidence))+IF(WayoftheFist3="",0,1))</f>
        <v>103</v>
      </c>
      <c r="J19" s="26">
        <f t="shared" ca="1" si="0"/>
        <v>199</v>
      </c>
      <c r="K19" s="50">
        <f ca="1">IF($C19&lt;&gt;"",CHOOSE($C19,0,0,OFFSET(WardensTauntT,0,Level)))+IF($D19&lt;&gt;"",CHOOSE($D19,0,0,OFFSET(WardensTauntT,0,Level)))+IF($E19&lt;&gt;"",CHOOSE($E19,0,0,OFFSET(WardensTauntT,0,Level)))+IF($F19&lt;&gt;"",CHOOSE($F19,0,0,OFFSET(WardensTauntT,0,Level)))+IF($G19&lt;&gt;"",CHOOSE($G19,0,0,OFFSET(WardensTauntT,0,Level)))+4*OFFSET(WarCryT,0,Level)</f>
        <v>2.5</v>
      </c>
      <c r="L19" s="52">
        <f ca="1">4*OFFSET(WarCryToT,0,Level)*4</f>
        <v>8</v>
      </c>
      <c r="M19" s="26">
        <f t="shared" ca="1" si="1"/>
        <v>10.5</v>
      </c>
      <c r="N19" s="50">
        <f t="shared" ca="1" si="9"/>
        <v>13</v>
      </c>
      <c r="O19" s="52">
        <f t="shared" ca="1" si="10"/>
        <v>26</v>
      </c>
      <c r="P19" s="26">
        <f t="shared" ca="1" si="2"/>
        <v>39</v>
      </c>
      <c r="Q19" s="50">
        <f t="shared" ca="1" si="3"/>
        <v>34</v>
      </c>
      <c r="R19" s="52">
        <f t="shared" ca="1" si="11"/>
        <v>41</v>
      </c>
      <c r="S19" s="26">
        <f t="shared" ca="1" si="4"/>
        <v>75</v>
      </c>
      <c r="T19" s="61">
        <f t="shared" ca="1" si="5"/>
        <v>2.6533333333333333</v>
      </c>
      <c r="U19" s="62">
        <f t="shared" ca="1" si="6"/>
        <v>14.000000000000002</v>
      </c>
      <c r="V19" s="63">
        <f t="shared" ca="1" si="7"/>
        <v>0.52</v>
      </c>
      <c r="W19" s="3"/>
      <c r="X19" s="1"/>
    </row>
    <row r="20" spans="1:24" ht="15" hidden="1" customHeight="1" outlineLevel="1">
      <c r="A20" s="52">
        <v>13</v>
      </c>
      <c r="B20" s="26" t="s">
        <v>85</v>
      </c>
      <c r="C20" s="39">
        <v>3</v>
      </c>
      <c r="D20" s="17">
        <v>2</v>
      </c>
      <c r="E20" s="14"/>
      <c r="F20" s="14"/>
      <c r="G20" s="15"/>
      <c r="H20" s="50">
        <f t="shared" ca="1" si="12"/>
        <v>96</v>
      </c>
      <c r="I20" s="52">
        <f ca="1">IF($C20&lt;&gt;0,CHOOSE($C20,0,0,OFFSET(WardensTauntDoT,0,Level)))+IF($D20&lt;&gt;0,CHOOSE($D20,0,0,OFFSET(WardensTauntDoT,0,Level)))+IF($E20&lt;&gt;0,CHOOSE($E20,0,0,OFFSET(WardensTauntDoT,0,Level)))+IF($F20&lt;&gt;0,CHOOSE($F20,0,0,OFFSET(WardensTauntDoT,0,Level)))+IF($G20&lt;&gt;0,CHOOSE($G20,0,0,OFFSET(WardensTauntDoT,0,Level)))+5*OFFSET(WarCryDoT,0,Level)*(1+0.05*NOT(ISBLANK(TerribleVisage))+IF(WayoftheFist4="",0,0.05))*(4+NOT(ISBLANK(Confidence))+IF(WayoftheFist3="",0,1))</f>
        <v>127</v>
      </c>
      <c r="J20" s="26">
        <f t="shared" ca="1" si="0"/>
        <v>223</v>
      </c>
      <c r="K20" s="50">
        <f ca="1">IF($C20&lt;&gt;"",CHOOSE($C20,0,0,OFFSET(WardensTauntT,0,Level)))+IF($D20&lt;&gt;"",CHOOSE($D20,0,0,OFFSET(WardensTauntT,0,Level)))+IF($E20&lt;&gt;"",CHOOSE($E20,0,0,OFFSET(WardensTauntT,0,Level)))+IF($F20&lt;&gt;"",CHOOSE($F20,0,0,OFFSET(WardensTauntT,0,Level)))+IF($G20&lt;&gt;"",CHOOSE($G20,0,0,OFFSET(WardensTauntT,0,Level)))+5*OFFSET(WarCryT,0,Level)</f>
        <v>3</v>
      </c>
      <c r="L20" s="52">
        <f ca="1">5*OFFSET(WarCryToT,0,Level)*4</f>
        <v>10</v>
      </c>
      <c r="M20" s="26">
        <f t="shared" ca="1" si="1"/>
        <v>13</v>
      </c>
      <c r="N20" s="50">
        <f t="shared" ca="1" si="9"/>
        <v>13</v>
      </c>
      <c r="O20" s="52">
        <f t="shared" ca="1" si="10"/>
        <v>26</v>
      </c>
      <c r="P20" s="26">
        <f t="shared" ca="1" si="2"/>
        <v>39</v>
      </c>
      <c r="Q20" s="50">
        <f t="shared" ca="1" si="3"/>
        <v>34</v>
      </c>
      <c r="R20" s="52">
        <f t="shared" ca="1" si="11"/>
        <v>41</v>
      </c>
      <c r="S20" s="26">
        <f t="shared" ca="1" si="4"/>
        <v>75</v>
      </c>
      <c r="T20" s="61">
        <f t="shared" ca="1" si="5"/>
        <v>2.9733333333333332</v>
      </c>
      <c r="U20" s="62">
        <f t="shared" ca="1" si="6"/>
        <v>17.333333333333336</v>
      </c>
      <c r="V20" s="63">
        <f t="shared" ca="1" si="7"/>
        <v>0.52</v>
      </c>
      <c r="W20" s="3"/>
      <c r="X20" s="1"/>
    </row>
    <row r="21" spans="1:24" ht="15" hidden="1" customHeight="1" outlineLevel="1">
      <c r="A21" s="52">
        <v>13</v>
      </c>
      <c r="B21" s="26" t="s">
        <v>86</v>
      </c>
      <c r="C21" s="39">
        <v>3</v>
      </c>
      <c r="D21" s="17">
        <v>2</v>
      </c>
      <c r="E21" s="14"/>
      <c r="F21" s="14"/>
      <c r="G21" s="15"/>
      <c r="H21" s="50">
        <f t="shared" ca="1" si="12"/>
        <v>96</v>
      </c>
      <c r="I21" s="52">
        <f ca="1">IF($C21&lt;&gt;0,CHOOSE($C21,0,0,OFFSET(WardensTauntDoT,0,Level)))+IF($D21&lt;&gt;0,CHOOSE($D21,0,0,OFFSET(WardensTauntDoT,0,Level)))+IF($E21&lt;&gt;0,CHOOSE($E21,0,0,OFFSET(WardensTauntDoT,0,Level)))+IF($F21&lt;&gt;0,CHOOSE($F21,0,0,OFFSET(WardensTauntDoT,0,Level)))+IF($G21&lt;&gt;0,CHOOSE($G21,0,0,OFFSET(WardensTauntDoT,0,Level)))+6*OFFSET(WarCryDoT,0,Level)*(1+0.05*NOT(ISBLANK(TerribleVisage))+IF(WayoftheFist4="",0,0.05))*(4+NOT(ISBLANK(Confidence))+IF(WayoftheFist3="",0,1))</f>
        <v>151</v>
      </c>
      <c r="J21" s="26">
        <f t="shared" ca="1" si="0"/>
        <v>247</v>
      </c>
      <c r="K21" s="50">
        <f ca="1">IF($C21&lt;&gt;"",CHOOSE($C21,0,0,OFFSET(WardensTauntT,0,Level)))+IF($D21&lt;&gt;"",CHOOSE($D21,0,0,OFFSET(WardensTauntT,0,Level)))+IF($E21&lt;&gt;"",CHOOSE($E21,0,0,OFFSET(WardensTauntT,0,Level)))+IF($F21&lt;&gt;"",CHOOSE($F21,0,0,OFFSET(WardensTauntT,0,Level)))+IF($G21&lt;&gt;"",CHOOSE($G21,0,0,OFFSET(WardensTauntT,0,Level)))+6*OFFSET(WarCryT,0,Level)</f>
        <v>3.5</v>
      </c>
      <c r="L21" s="52">
        <f ca="1">6*OFFSET(WarCryToT,0,Level)*4</f>
        <v>12</v>
      </c>
      <c r="M21" s="26">
        <f t="shared" ca="1" si="1"/>
        <v>15.5</v>
      </c>
      <c r="N21" s="50">
        <f t="shared" ca="1" si="9"/>
        <v>13</v>
      </c>
      <c r="O21" s="52">
        <f t="shared" ca="1" si="10"/>
        <v>26</v>
      </c>
      <c r="P21" s="26">
        <f t="shared" ca="1" si="2"/>
        <v>39</v>
      </c>
      <c r="Q21" s="50">
        <f t="shared" ca="1" si="3"/>
        <v>34</v>
      </c>
      <c r="R21" s="52">
        <f t="shared" ca="1" si="11"/>
        <v>41</v>
      </c>
      <c r="S21" s="26">
        <f t="shared" ca="1" si="4"/>
        <v>75</v>
      </c>
      <c r="T21" s="61">
        <f t="shared" ca="1" si="5"/>
        <v>3.2933333333333334</v>
      </c>
      <c r="U21" s="62">
        <f t="shared" ca="1" si="6"/>
        <v>20.666666666666668</v>
      </c>
      <c r="V21" s="63">
        <f t="shared" ca="1" si="7"/>
        <v>0.52</v>
      </c>
      <c r="W21" s="3"/>
      <c r="X21" s="1"/>
    </row>
    <row r="22" spans="1:24" ht="15" hidden="1" customHeight="1" outlineLevel="1">
      <c r="A22" s="52">
        <v>13</v>
      </c>
      <c r="B22" s="26" t="s">
        <v>87</v>
      </c>
      <c r="C22" s="39">
        <v>3</v>
      </c>
      <c r="D22" s="17">
        <v>2</v>
      </c>
      <c r="E22" s="14"/>
      <c r="F22" s="14"/>
      <c r="G22" s="15"/>
      <c r="H22" s="50">
        <f t="shared" ca="1" si="12"/>
        <v>96</v>
      </c>
      <c r="I22" s="52">
        <f ca="1">IF($C22&lt;&gt;0,CHOOSE($C22,0,0,OFFSET(WardensTauntDoT,0,Level)))+IF($D22&lt;&gt;0,CHOOSE($D22,0,0,OFFSET(WardensTauntDoT,0,Level)))+IF($E22&lt;&gt;0,CHOOSE($E22,0,0,OFFSET(WardensTauntDoT,0,Level)))+IF($F22&lt;&gt;0,CHOOSE($F22,0,0,OFFSET(WardensTauntDoT,0,Level)))+IF($G22&lt;&gt;0,CHOOSE($G22,0,0,OFFSET(WardensTauntDoT,0,Level)))+7*OFFSET(WarCryDoT,0,Level)*(1+0.05*NOT(ISBLANK(TerribleVisage))+IF(WayoftheFist4="",0,0.05))*(4+NOT(ISBLANK(Confidence))+IF(WayoftheFist3="",0,1))</f>
        <v>175</v>
      </c>
      <c r="J22" s="26">
        <f t="shared" ca="1" si="0"/>
        <v>271</v>
      </c>
      <c r="K22" s="50">
        <f ca="1">IF($C22&lt;&gt;"",CHOOSE($C22,0,0,OFFSET(WardensTauntT,0,Level)))+IF($D22&lt;&gt;"",CHOOSE($D22,0,0,OFFSET(WardensTauntT,0,Level)))+IF($E22&lt;&gt;"",CHOOSE($E22,0,0,OFFSET(WardensTauntT,0,Level)))+IF($F22&lt;&gt;"",CHOOSE($F22,0,0,OFFSET(WardensTauntT,0,Level)))+IF($G22&lt;&gt;"",CHOOSE($G22,0,0,OFFSET(WardensTauntT,0,Level)))+7*OFFSET(WarCryT,0,Level)</f>
        <v>4</v>
      </c>
      <c r="L22" s="52">
        <f ca="1">7*OFFSET(WarCryToT,0,Level)*4</f>
        <v>14</v>
      </c>
      <c r="M22" s="26">
        <f t="shared" ca="1" si="1"/>
        <v>18</v>
      </c>
      <c r="N22" s="50">
        <f t="shared" ca="1" si="9"/>
        <v>13</v>
      </c>
      <c r="O22" s="52">
        <f t="shared" ca="1" si="10"/>
        <v>26</v>
      </c>
      <c r="P22" s="26">
        <f t="shared" ca="1" si="2"/>
        <v>39</v>
      </c>
      <c r="Q22" s="50">
        <f t="shared" ca="1" si="3"/>
        <v>34</v>
      </c>
      <c r="R22" s="52">
        <f t="shared" ca="1" si="11"/>
        <v>41</v>
      </c>
      <c r="S22" s="26">
        <f t="shared" ca="1" si="4"/>
        <v>75</v>
      </c>
      <c r="T22" s="61">
        <f t="shared" ca="1" si="5"/>
        <v>3.6133333333333333</v>
      </c>
      <c r="U22" s="62">
        <f t="shared" ca="1" si="6"/>
        <v>24</v>
      </c>
      <c r="V22" s="63">
        <f t="shared" ca="1" si="7"/>
        <v>0.52</v>
      </c>
      <c r="W22" s="3"/>
      <c r="X22" s="1"/>
    </row>
    <row r="23" spans="1:24" ht="15" hidden="1" customHeight="1" outlineLevel="1">
      <c r="A23" s="52">
        <v>13</v>
      </c>
      <c r="B23" s="26" t="s">
        <v>88</v>
      </c>
      <c r="C23" s="39">
        <v>3</v>
      </c>
      <c r="D23" s="17">
        <v>2</v>
      </c>
      <c r="E23" s="14"/>
      <c r="F23" s="14"/>
      <c r="G23" s="15"/>
      <c r="H23" s="50">
        <f t="shared" ca="1" si="12"/>
        <v>96</v>
      </c>
      <c r="I23" s="52">
        <f ca="1">IF($C23&lt;&gt;0,CHOOSE($C23,0,0,OFFSET(WardensTauntDoT,0,Level)))+IF($D23&lt;&gt;0,CHOOSE($D23,0,0,OFFSET(WardensTauntDoT,0,Level)))+IF($E23&lt;&gt;0,CHOOSE($E23,0,0,OFFSET(WardensTauntDoT,0,Level)))+IF($F23&lt;&gt;0,CHOOSE($F23,0,0,OFFSET(WardensTauntDoT,0,Level)))+IF($G23&lt;&gt;0,CHOOSE($G23,0,0,OFFSET(WardensTauntDoT,0,Level)))+8*OFFSET(WarCryDoT,0,Level)*(1+0.05*NOT(ISBLANK(TerribleVisage))+IF(WayoftheFist4="",0,0.05))*(4+NOT(ISBLANK(Confidence))+IF(WayoftheFist3="",0,1))</f>
        <v>199</v>
      </c>
      <c r="J23" s="26">
        <f t="shared" ca="1" si="0"/>
        <v>295</v>
      </c>
      <c r="K23" s="50">
        <f ca="1">IF($C23&lt;&gt;"",CHOOSE($C23,0,0,OFFSET(WardensTauntT,0,Level)))+IF($D23&lt;&gt;"",CHOOSE($D23,0,0,OFFSET(WardensTauntT,0,Level)))+IF($E23&lt;&gt;"",CHOOSE($E23,0,0,OFFSET(WardensTauntT,0,Level)))+IF($F23&lt;&gt;"",CHOOSE($F23,0,0,OFFSET(WardensTauntT,0,Level)))+IF($G23&lt;&gt;"",CHOOSE($G23,0,0,OFFSET(WardensTauntT,0,Level)))+8*OFFSET(WarCryT,0,Level)</f>
        <v>4.5</v>
      </c>
      <c r="L23" s="52">
        <f ca="1">8*OFFSET(WarCryToT,0,Level)*4</f>
        <v>16</v>
      </c>
      <c r="M23" s="26">
        <f t="shared" ca="1" si="1"/>
        <v>20.5</v>
      </c>
      <c r="N23" s="50">
        <f t="shared" ca="1" si="9"/>
        <v>13</v>
      </c>
      <c r="O23" s="52">
        <f t="shared" ca="1" si="10"/>
        <v>26</v>
      </c>
      <c r="P23" s="26">
        <f t="shared" ca="1" si="2"/>
        <v>39</v>
      </c>
      <c r="Q23" s="50">
        <f t="shared" ca="1" si="3"/>
        <v>34</v>
      </c>
      <c r="R23" s="52">
        <f t="shared" ca="1" si="11"/>
        <v>41</v>
      </c>
      <c r="S23" s="26">
        <f t="shared" ca="1" si="4"/>
        <v>75</v>
      </c>
      <c r="T23" s="61">
        <f t="shared" ca="1" si="5"/>
        <v>3.9333333333333331</v>
      </c>
      <c r="U23" s="62">
        <f t="shared" ca="1" si="6"/>
        <v>27.333333333333332</v>
      </c>
      <c r="V23" s="63">
        <f t="shared" ca="1" si="7"/>
        <v>0.52</v>
      </c>
      <c r="W23" s="3"/>
      <c r="X23" s="1"/>
    </row>
    <row r="24" spans="1:24" ht="15" hidden="1" customHeight="1" outlineLevel="1">
      <c r="A24" s="52">
        <v>13</v>
      </c>
      <c r="B24" s="26" t="s">
        <v>89</v>
      </c>
      <c r="C24" s="39">
        <v>3</v>
      </c>
      <c r="D24" s="17">
        <v>2</v>
      </c>
      <c r="E24" s="14"/>
      <c r="F24" s="14"/>
      <c r="G24" s="15"/>
      <c r="H24" s="50">
        <f t="shared" ca="1" si="12"/>
        <v>96</v>
      </c>
      <c r="I24" s="52">
        <f ca="1">IF($C24&lt;&gt;0,CHOOSE($C24,0,0,OFFSET(WardensTauntDoT,0,Level)))+IF($D24&lt;&gt;0,CHOOSE($D24,0,0,OFFSET(WardensTauntDoT,0,Level)))+IF($E24&lt;&gt;0,CHOOSE($E24,0,0,OFFSET(WardensTauntDoT,0,Level)))+IF($F24&lt;&gt;0,CHOOSE($F24,0,0,OFFSET(WardensTauntDoT,0,Level)))+IF($G24&lt;&gt;0,CHOOSE($G24,0,0,OFFSET(WardensTauntDoT,0,Level)))+9*OFFSET(WarCryDoT,0,Level)*(1+0.05*NOT(ISBLANK(TerribleVisage))+IF(WayoftheFist4="",0,0.05))*(4+NOT(ISBLANK(Confidence))+IF(WayoftheFist3="",0,1))</f>
        <v>223</v>
      </c>
      <c r="J24" s="26">
        <f t="shared" ca="1" si="0"/>
        <v>319</v>
      </c>
      <c r="K24" s="50">
        <f ca="1">IF($C24&lt;&gt;"",CHOOSE($C24,0,0,OFFSET(WardensTauntT,0,Level)))+IF($D24&lt;&gt;"",CHOOSE($D24,0,0,OFFSET(WardensTauntT,0,Level)))+IF($E24&lt;&gt;"",CHOOSE($E24,0,0,OFFSET(WardensTauntT,0,Level)))+IF($F24&lt;&gt;"",CHOOSE($F24,0,0,OFFSET(WardensTauntT,0,Level)))+IF($G24&lt;&gt;"",CHOOSE($G24,0,0,OFFSET(WardensTauntT,0,Level)))+9*OFFSET(WarCryT,0,Level)</f>
        <v>5</v>
      </c>
      <c r="L24" s="52">
        <f ca="1">9*OFFSET(WarCryToT,0,Level)*4</f>
        <v>18</v>
      </c>
      <c r="M24" s="26">
        <f t="shared" ca="1" si="1"/>
        <v>23</v>
      </c>
      <c r="N24" s="50">
        <f t="shared" ca="1" si="9"/>
        <v>13</v>
      </c>
      <c r="O24" s="52">
        <f t="shared" ca="1" si="10"/>
        <v>26</v>
      </c>
      <c r="P24" s="26">
        <f t="shared" ca="1" si="2"/>
        <v>39</v>
      </c>
      <c r="Q24" s="50">
        <f t="shared" ca="1" si="3"/>
        <v>34</v>
      </c>
      <c r="R24" s="52">
        <f t="shared" ca="1" si="11"/>
        <v>41</v>
      </c>
      <c r="S24" s="26">
        <f t="shared" ca="1" si="4"/>
        <v>75</v>
      </c>
      <c r="T24" s="61">
        <f t="shared" ca="1" si="5"/>
        <v>4.253333333333333</v>
      </c>
      <c r="U24" s="62">
        <f t="shared" ca="1" si="6"/>
        <v>30.666666666666664</v>
      </c>
      <c r="V24" s="63">
        <f t="shared" ca="1" si="7"/>
        <v>0.52</v>
      </c>
      <c r="W24" s="3"/>
      <c r="X24" s="1"/>
    </row>
    <row r="25" spans="1:24" ht="15" hidden="1" customHeight="1" outlineLevel="1">
      <c r="A25" s="46">
        <v>13</v>
      </c>
      <c r="B25" s="28" t="s">
        <v>90</v>
      </c>
      <c r="C25" s="55">
        <v>3</v>
      </c>
      <c r="D25" s="23">
        <v>2</v>
      </c>
      <c r="E25" s="20"/>
      <c r="F25" s="20"/>
      <c r="G25" s="21"/>
      <c r="H25" s="51">
        <f t="shared" ca="1" si="12"/>
        <v>96</v>
      </c>
      <c r="I25" s="46">
        <f ca="1">IF($C25&lt;&gt;0,CHOOSE($C25,0,0,OFFSET(WardensTauntDoT,0,Level)))+IF($D25&lt;&gt;0,CHOOSE($D25,0,0,OFFSET(WardensTauntDoT,0,Level)))+IF($E25&lt;&gt;0,CHOOSE($E25,0,0,OFFSET(WardensTauntDoT,0,Level)))+IF($F25&lt;&gt;0,CHOOSE($F25,0,0,OFFSET(WardensTauntDoT,0,Level)))+IF($G25&lt;&gt;0,CHOOSE($G25,0,0,OFFSET(WardensTauntDoT,0,Level)))+10*OFFSET(WarCryDoT,0,Level)*(1+0.05*NOT(ISBLANK(TerribleVisage+IF(WayoftheFist4="",0,0.05))))*(4+NOT(ISBLANK(Confidence))+IF(WayoftheFist3="",0,1))</f>
        <v>259</v>
      </c>
      <c r="J25" s="28">
        <f t="shared" ca="1" si="0"/>
        <v>355</v>
      </c>
      <c r="K25" s="51">
        <f ca="1">IF($C25&lt;&gt;"",CHOOSE($C25,0,0,OFFSET(WardensTauntT,0,Level)))+IF($D25&lt;&gt;"",CHOOSE($D25,0,0,OFFSET(WardensTauntT,0,Level)))+IF($E25&lt;&gt;"",CHOOSE($E25,0,0,OFFSET(WardensTauntT,0,Level)))+IF($F25&lt;&gt;"",CHOOSE($F25,0,0,OFFSET(WardensTauntT,0,Level)))+IF($G25&lt;&gt;"",CHOOSE($G25,0,0,OFFSET(WardensTauntT,0,Level)))+10*OFFSET(WarCryT,0,Level)</f>
        <v>5.5</v>
      </c>
      <c r="L25" s="46">
        <f ca="1">10*OFFSET(WarCryToT,0,Level)*4</f>
        <v>20</v>
      </c>
      <c r="M25" s="28">
        <f t="shared" ca="1" si="1"/>
        <v>25.5</v>
      </c>
      <c r="N25" s="51">
        <f t="shared" ca="1" si="9"/>
        <v>13</v>
      </c>
      <c r="O25" s="46">
        <f t="shared" ca="1" si="10"/>
        <v>26</v>
      </c>
      <c r="P25" s="28">
        <f t="shared" ca="1" si="2"/>
        <v>39</v>
      </c>
      <c r="Q25" s="51">
        <f t="shared" ca="1" si="3"/>
        <v>34</v>
      </c>
      <c r="R25" s="46">
        <f t="shared" ca="1" si="11"/>
        <v>41</v>
      </c>
      <c r="S25" s="28">
        <f t="shared" ca="1" si="4"/>
        <v>75</v>
      </c>
      <c r="T25" s="64">
        <f t="shared" ca="1" si="5"/>
        <v>4.7333333333333334</v>
      </c>
      <c r="U25" s="65">
        <f t="shared" ca="1" si="6"/>
        <v>34</v>
      </c>
      <c r="V25" s="66">
        <f t="shared" ca="1" si="7"/>
        <v>0.52</v>
      </c>
      <c r="W25" s="3"/>
      <c r="X25" s="1"/>
    </row>
    <row r="26" spans="1:24" ht="15" customHeight="1" collapsed="1">
      <c r="A26" s="43">
        <v>16</v>
      </c>
      <c r="B26" s="25" t="s">
        <v>21</v>
      </c>
      <c r="C26" s="7">
        <v>1</v>
      </c>
      <c r="D26" s="12">
        <v>2</v>
      </c>
      <c r="E26" s="54">
        <v>3</v>
      </c>
      <c r="F26" s="9"/>
      <c r="G26" s="10"/>
      <c r="H26" s="49">
        <f ca="1">IF($C26&lt;&gt;"",CHOOSE($C26,MainHandDmg,OFFSET(ShieldBashDD,0,Level),OFFSET(WardensTauntDD,0,Level)))+IF($D26&lt;&gt;"",CHOOSE($D26,MainHandDmg,OFFSET(ShieldBashDD,0,Level),OFFSET(WardensTauntDD,0,Level)))+IF($E26&lt;&gt;"",CHOOSE($E26,MainHandDmg,OFFSET(ShieldBashDD,0,Level),OFFSET(WardensTauntDD,0,Level)))+IF($F26&lt;&gt;"",CHOOSE($F26,MainHandDmg,OFFSET(ShieldBashDD,0,Level),OFFSET(WardensTauntDD,0,Level)))+IF($G26&lt;&gt;"",CHOOSE($G26,MainHandDmg,OFFSET(ShieldBashDD,0,Level),OFFSET(WardensTauntDD,0,Level)))+(MainHandDmg+OFFSET(PowerAttackDD,0,Level))*(1+0.05*NOT(ISBLANK(Veteran))+IF(WayoftheSpear4="",0,0.05))</f>
        <v>166</v>
      </c>
      <c r="I26" s="43">
        <f ca="1">IF($C26&lt;&gt;0,CHOOSE($C26,0,0,OFFSET(WardensTauntDoT,0,Level)))+IF($D26&lt;&gt;0,CHOOSE($D26,0,0,OFFSET(WardensTauntDoT,0,Level)))+IF($E26&lt;&gt;0,CHOOSE($E26,0,0,OFFSET(WardensTauntDoT,0,Level)))+IF($F26&lt;&gt;0,CHOOSE($F26,0,0,OFFSET(WardensTauntDoT,0,Level)))+IF($G26&lt;&gt;0,CHOOSE($G26,0,0,OFFSET(WardensTauntDoT,0,Level)))+OFFSET(PowerAttackDoT,0,Level)*4</f>
        <v>99</v>
      </c>
      <c r="J26" s="44">
        <f t="shared" ca="1" si="0"/>
        <v>265</v>
      </c>
      <c r="K26" s="49">
        <f ca="1">IF($C26&lt;&gt;"",CHOOSE($C26,0,0,OFFSET(WardensTauntT,0,Level)))+IF($D26&lt;&gt;"",CHOOSE($D26,0,0,OFFSET(WardensTauntT,0,Level)))+IF($E26&lt;&gt;"",CHOOSE($E26,0,0,OFFSET(WardensTauntT,0,Level)))+IF($F26&lt;&gt;"",CHOOSE($F26,0,0,OFFSET(WardensTauntT,0,Level)))+IF($G26&lt;&gt;"",CHOOSE($G26,0,0,OFFSET(WardensTauntT,0,Level)))</f>
        <v>0.5</v>
      </c>
      <c r="L26" s="43"/>
      <c r="M26" s="44">
        <f t="shared" ca="1" si="1"/>
        <v>0.5</v>
      </c>
      <c r="N26" s="49"/>
      <c r="O26" s="43"/>
      <c r="P26" s="44">
        <f t="shared" si="2"/>
        <v>0</v>
      </c>
      <c r="Q26" s="49">
        <f t="shared" ca="1" si="3"/>
        <v>53</v>
      </c>
      <c r="R26" s="43">
        <f ca="1">OFFSET(PowerAttackPwr,0,Level)*(IF(WayoftheSpear2="",1,0.95))</f>
        <v>28</v>
      </c>
      <c r="S26" s="44">
        <f t="shared" ca="1" si="4"/>
        <v>81</v>
      </c>
      <c r="T26" s="58">
        <f t="shared" ca="1" si="5"/>
        <v>3.2716049382716048</v>
      </c>
      <c r="U26" s="59">
        <f t="shared" ca="1" si="6"/>
        <v>0.61728395061728392</v>
      </c>
      <c r="V26" s="60">
        <f t="shared" ca="1" si="7"/>
        <v>0</v>
      </c>
      <c r="W26" s="3"/>
      <c r="X26" s="1"/>
    </row>
    <row r="27" spans="1:24" ht="15" customHeight="1">
      <c r="A27" s="43">
        <v>16</v>
      </c>
      <c r="B27" s="25" t="s">
        <v>99</v>
      </c>
      <c r="C27" s="11">
        <v>2</v>
      </c>
      <c r="D27" s="54">
        <v>3</v>
      </c>
      <c r="E27" s="12">
        <v>2</v>
      </c>
      <c r="F27" s="9"/>
      <c r="G27" s="10"/>
      <c r="H27" s="49">
        <f t="shared" ref="H27:H32" ca="1" si="13">IF($C27&lt;&gt;"",CHOOSE($C27,MainHandDmg,OFFSET(ShieldBashDD,0,Level),OFFSET(WardensTauntDD,0,Level)))+IF($D27&lt;&gt;"",CHOOSE($D27,MainHandDmg,OFFSET(ShieldBashDD,0,Level),OFFSET(WardensTauntDD,0,Level)))+IF($E27&lt;&gt;"",CHOOSE($E27,MainHandDmg,OFFSET(ShieldBashDD,0,Level),OFFSET(WardensTauntDD,0,Level)))+IF($F27&lt;&gt;"",CHOOSE($F27,MainHandDmg,OFFSET(ShieldBashDD,0,Level),OFFSET(WardensTauntDD,0,Level)))+IF($G27&lt;&gt;"",CHOOSE($G27,MainHandDmg,OFFSET(ShieldBashDD,0,Level),OFFSET(WardensTauntDD,0,Level)))+MainHandDmg+OFFSET(MadStrikeDD,0,Level)</f>
        <v>124</v>
      </c>
      <c r="I27" s="43">
        <f t="shared" ref="I27:I34" ca="1" si="14">IF($C27&lt;&gt;0,CHOOSE($C27,0,0,OFFSET(WardensTauntDoT,0,Level)))+IF($D27&lt;&gt;0,CHOOSE($D27,0,0,OFFSET(WardensTauntDoT,0,Level)))+IF($E27&lt;&gt;0,CHOOSE($E27,0,0,OFFSET(WardensTauntDoT,0,Level)))+IF($F27&lt;&gt;0,CHOOSE($F27,0,0,OFFSET(WardensTauntDoT,0,Level)))+IF($G27&lt;&gt;0,CHOOSE($G27,0,0,OFFSET(WardensTauntDoT,0,Level)))</f>
        <v>7</v>
      </c>
      <c r="J27" s="44">
        <f t="shared" ref="J27:J32" ca="1" si="15">SUM(H27:I27)</f>
        <v>131</v>
      </c>
      <c r="K27" s="49">
        <f ca="1">IF($C27&lt;&gt;"",CHOOSE($C27,0,0,OFFSET(WardensTauntT,0,Level)))+IF($D27&lt;&gt;"",CHOOSE($D27,0,0,OFFSET(WardensTauntT,0,Level)))+IF($E27&lt;&gt;"",CHOOSE($E27,0,0,OFFSET(WardensTauntT,0,Level)))+IF($F27&lt;&gt;"",CHOOSE($F27,0,0,OFFSET(WardensTauntT,0,Level)))+IF($G27&lt;&gt;"",CHOOSE($G27,0,0,OFFSET(WardensTauntT,0,Level)))+0*OFFSET(MadStrikeT,0,Level)</f>
        <v>0.5</v>
      </c>
      <c r="L27" s="43"/>
      <c r="M27" s="44">
        <f t="shared" ref="M27:M32" ca="1" si="16">SUM(K27:L27)</f>
        <v>0.5</v>
      </c>
      <c r="N27" s="49"/>
      <c r="O27" s="43"/>
      <c r="P27" s="44">
        <f t="shared" ref="P27:P32" si="17">SUM(N27:O27)</f>
        <v>0</v>
      </c>
      <c r="Q27" s="49">
        <f t="shared" ref="Q27:Q32" ca="1" si="18">IF($C27&lt;&gt;"",CHOOSE($C27,((OFFSET(QuickThrustPwr,0,Level)*(1-0.4*NOT(ISBLANK(EfficientThrust))))*(1-0.4*NOT(ISBLANK(EfficientThrust)))),OFFSET(ShieldBashPwr,0,Level),OFFSET(WardensTauntPwr,0,Level)))+IF($D27&lt;&gt;"",CHOOSE($D27,(OFFSET(QuickThrustPwr,0,Level)*(1-0.4*NOT(ISBLANK(EfficientThrust)))),OFFSET(ShieldBashPwr,0,Level),OFFSET(WardensTauntPwr,0,Level)))+IF($E27&lt;&gt;"",CHOOSE($E27,(OFFSET(QuickThrustPwr,0,Level)*(1-0.4*NOT(ISBLANK(EfficientThrust)))),OFFSET(ShieldBashPwr,0,Level),OFFSET(WardensTauntPwr,0,Level)))+IF($F27&lt;&gt;"",CHOOSE($F27,(OFFSET(QuickThrustPwr,0,Level)*(1-0.4*NOT(ISBLANK(EfficientThrust)))),OFFSET(ShieldBashPwr,0,Level),OFFSET(WardensTauntPwr,0,Level)))+IF($G27&lt;&gt;"",CHOOSE($G27,(OFFSET(QuickThrustPwr,0,Level)*(1-0.4*NOT(ISBLANK(EfficientThrust)))),OFFSET(ShieldBashPwr,0,Level),OFFSET(WardensTauntPwr,0,Level)))</f>
        <v>51</v>
      </c>
      <c r="R27" s="43">
        <f t="shared" ref="R27:R32" ca="1" si="19">OFFSET(MadStrikePwr,0,Level)*(1-0.05*(NOT(ISBLANK(EfficientShieldwork))))</f>
        <v>28</v>
      </c>
      <c r="S27" s="44">
        <f t="shared" ref="S27:S32" ca="1" si="20">SUM(Q27:R27)</f>
        <v>79</v>
      </c>
      <c r="T27" s="58">
        <f t="shared" ref="T27:T32" ca="1" si="21">J27/S27</f>
        <v>1.6582278481012658</v>
      </c>
      <c r="U27" s="59">
        <f t="shared" ref="U27:U32" ca="1" si="22">M27/S27*100</f>
        <v>0.63291139240506333</v>
      </c>
      <c r="V27" s="60">
        <f t="shared" ref="V27:V32" ca="1" si="23">P27/S27</f>
        <v>0</v>
      </c>
      <c r="W27" s="3" t="s">
        <v>30</v>
      </c>
      <c r="X27" s="1"/>
    </row>
    <row r="28" spans="1:24" ht="15" hidden="1" customHeight="1" outlineLevel="1">
      <c r="A28" s="52">
        <v>16</v>
      </c>
      <c r="B28" s="26" t="s">
        <v>100</v>
      </c>
      <c r="C28" s="16">
        <v>2</v>
      </c>
      <c r="D28" s="41">
        <v>3</v>
      </c>
      <c r="E28" s="17">
        <v>2</v>
      </c>
      <c r="F28" s="14"/>
      <c r="G28" s="15"/>
      <c r="H28" s="50">
        <f t="shared" ca="1" si="13"/>
        <v>124</v>
      </c>
      <c r="I28" s="52">
        <f t="shared" ca="1" si="14"/>
        <v>7</v>
      </c>
      <c r="J28" s="26">
        <f t="shared" ca="1" si="15"/>
        <v>131</v>
      </c>
      <c r="K28" s="50">
        <f ca="1">IF($C28&lt;&gt;"",CHOOSE($C28,0,0,OFFSET(WardensTauntT,0,Level)))+IF($D28&lt;&gt;"",CHOOSE($D28,0,0,OFFSET(WardensTauntT,0,Level)))+IF($E28&lt;&gt;"",CHOOSE($E28,0,0,OFFSET(WardensTauntT,0,Level)))+IF($F28&lt;&gt;"",CHOOSE($F28,0,0,OFFSET(WardensTauntT,0,Level)))+IF($G28&lt;&gt;"",CHOOSE($G28,0,0,OFFSET(WardensTauntT,0,Level)))+1*OFFSET(MadStrikeT,0,Level)</f>
        <v>1</v>
      </c>
      <c r="L28" s="52"/>
      <c r="M28" s="26">
        <f t="shared" ca="1" si="16"/>
        <v>1</v>
      </c>
      <c r="N28" s="50"/>
      <c r="O28" s="52"/>
      <c r="P28" s="26">
        <f t="shared" si="17"/>
        <v>0</v>
      </c>
      <c r="Q28" s="50">
        <f t="shared" ca="1" si="18"/>
        <v>51</v>
      </c>
      <c r="R28" s="52">
        <f t="shared" ca="1" si="19"/>
        <v>28</v>
      </c>
      <c r="S28" s="26">
        <f t="shared" ca="1" si="20"/>
        <v>79</v>
      </c>
      <c r="T28" s="61">
        <f t="shared" ca="1" si="21"/>
        <v>1.6582278481012658</v>
      </c>
      <c r="U28" s="62">
        <f t="shared" ca="1" si="22"/>
        <v>1.2658227848101267</v>
      </c>
      <c r="V28" s="63">
        <f t="shared" ca="1" si="23"/>
        <v>0</v>
      </c>
      <c r="W28" s="3"/>
      <c r="X28" s="1"/>
    </row>
    <row r="29" spans="1:24" ht="15" hidden="1" customHeight="1" outlineLevel="1">
      <c r="A29" s="52">
        <v>16</v>
      </c>
      <c r="B29" s="26" t="s">
        <v>101</v>
      </c>
      <c r="C29" s="16">
        <v>2</v>
      </c>
      <c r="D29" s="41">
        <v>3</v>
      </c>
      <c r="E29" s="17">
        <v>2</v>
      </c>
      <c r="F29" s="14"/>
      <c r="G29" s="15"/>
      <c r="H29" s="50">
        <f t="shared" ca="1" si="13"/>
        <v>124</v>
      </c>
      <c r="I29" s="52">
        <f t="shared" ca="1" si="14"/>
        <v>7</v>
      </c>
      <c r="J29" s="26">
        <f t="shared" ca="1" si="15"/>
        <v>131</v>
      </c>
      <c r="K29" s="50">
        <f ca="1">IF($C29&lt;&gt;"",CHOOSE($C29,0,0,OFFSET(WardensTauntT,0,Level)))+IF($D29&lt;&gt;"",CHOOSE($D29,0,0,OFFSET(WardensTauntT,0,Level)))+IF($E29&lt;&gt;"",CHOOSE($E29,0,0,OFFSET(WardensTauntT,0,Level)))+IF($F29&lt;&gt;"",CHOOSE($F29,0,0,OFFSET(WardensTauntT,0,Level)))+IF($G29&lt;&gt;"",CHOOSE($G29,0,0,OFFSET(WardensTauntT,0,Level)))+2*OFFSET(MadStrikeT,0,Level)</f>
        <v>1.5</v>
      </c>
      <c r="L29" s="52"/>
      <c r="M29" s="26">
        <f t="shared" ca="1" si="16"/>
        <v>1.5</v>
      </c>
      <c r="N29" s="50"/>
      <c r="O29" s="52"/>
      <c r="P29" s="26">
        <f t="shared" si="17"/>
        <v>0</v>
      </c>
      <c r="Q29" s="50">
        <f t="shared" ca="1" si="18"/>
        <v>51</v>
      </c>
      <c r="R29" s="52">
        <f t="shared" ca="1" si="19"/>
        <v>28</v>
      </c>
      <c r="S29" s="26">
        <f t="shared" ca="1" si="20"/>
        <v>79</v>
      </c>
      <c r="T29" s="61">
        <f t="shared" ca="1" si="21"/>
        <v>1.6582278481012658</v>
      </c>
      <c r="U29" s="62">
        <f t="shared" ca="1" si="22"/>
        <v>1.89873417721519</v>
      </c>
      <c r="V29" s="63">
        <f t="shared" ca="1" si="23"/>
        <v>0</v>
      </c>
      <c r="W29" s="3"/>
      <c r="X29" s="1"/>
    </row>
    <row r="30" spans="1:24" ht="15" hidden="1" customHeight="1" outlineLevel="1">
      <c r="A30" s="52">
        <v>16</v>
      </c>
      <c r="B30" s="26" t="s">
        <v>102</v>
      </c>
      <c r="C30" s="16">
        <v>2</v>
      </c>
      <c r="D30" s="41">
        <v>3</v>
      </c>
      <c r="E30" s="17">
        <v>2</v>
      </c>
      <c r="F30" s="14"/>
      <c r="G30" s="15"/>
      <c r="H30" s="50">
        <f t="shared" ca="1" si="13"/>
        <v>124</v>
      </c>
      <c r="I30" s="52">
        <f t="shared" ca="1" si="14"/>
        <v>7</v>
      </c>
      <c r="J30" s="26">
        <f t="shared" ca="1" si="15"/>
        <v>131</v>
      </c>
      <c r="K30" s="50">
        <f ca="1">IF($C30&lt;&gt;"",CHOOSE($C30,0,0,OFFSET(WardensTauntT,0,Level)))+IF($D30&lt;&gt;"",CHOOSE($D30,0,0,OFFSET(WardensTauntT,0,Level)))+IF($E30&lt;&gt;"",CHOOSE($E30,0,0,OFFSET(WardensTauntT,0,Level)))+IF($F30&lt;&gt;"",CHOOSE($F30,0,0,OFFSET(WardensTauntT,0,Level)))+IF($G30&lt;&gt;"",CHOOSE($G30,0,0,OFFSET(WardensTauntT,0,Level)))+3*OFFSET(MadStrikeT,0,Level)</f>
        <v>2</v>
      </c>
      <c r="L30" s="52"/>
      <c r="M30" s="26">
        <f t="shared" ca="1" si="16"/>
        <v>2</v>
      </c>
      <c r="N30" s="50"/>
      <c r="O30" s="52"/>
      <c r="P30" s="26">
        <f t="shared" si="17"/>
        <v>0</v>
      </c>
      <c r="Q30" s="50">
        <f t="shared" ca="1" si="18"/>
        <v>51</v>
      </c>
      <c r="R30" s="52">
        <f t="shared" ca="1" si="19"/>
        <v>28</v>
      </c>
      <c r="S30" s="26">
        <f t="shared" ca="1" si="20"/>
        <v>79</v>
      </c>
      <c r="T30" s="61">
        <f t="shared" ca="1" si="21"/>
        <v>1.6582278481012658</v>
      </c>
      <c r="U30" s="62">
        <f t="shared" ca="1" si="22"/>
        <v>2.5316455696202533</v>
      </c>
      <c r="V30" s="63">
        <f t="shared" ca="1" si="23"/>
        <v>0</v>
      </c>
      <c r="W30" s="3"/>
      <c r="X30" s="1"/>
    </row>
    <row r="31" spans="1:24" ht="15" hidden="1" customHeight="1" outlineLevel="1">
      <c r="A31" s="52">
        <v>16</v>
      </c>
      <c r="B31" s="26" t="s">
        <v>103</v>
      </c>
      <c r="C31" s="16">
        <v>2</v>
      </c>
      <c r="D31" s="41">
        <v>3</v>
      </c>
      <c r="E31" s="17">
        <v>2</v>
      </c>
      <c r="F31" s="14"/>
      <c r="G31" s="15"/>
      <c r="H31" s="50">
        <f t="shared" ca="1" si="13"/>
        <v>124</v>
      </c>
      <c r="I31" s="52">
        <f t="shared" ca="1" si="14"/>
        <v>7</v>
      </c>
      <c r="J31" s="26">
        <f t="shared" ca="1" si="15"/>
        <v>131</v>
      </c>
      <c r="K31" s="50">
        <f ca="1">IF($C31&lt;&gt;"",CHOOSE($C31,0,0,OFFSET(WardensTauntT,0,Level)))+IF($D31&lt;&gt;"",CHOOSE($D31,0,0,OFFSET(WardensTauntT,0,Level)))+IF($E31&lt;&gt;"",CHOOSE($E31,0,0,OFFSET(WardensTauntT,0,Level)))+IF($F31&lt;&gt;"",CHOOSE($F31,0,0,OFFSET(WardensTauntT,0,Level)))+IF($G31&lt;&gt;"",CHOOSE($G31,0,0,OFFSET(WardensTauntT,0,Level)))+4*OFFSET(MadStrikeT,0,Level)</f>
        <v>2.5</v>
      </c>
      <c r="L31" s="52"/>
      <c r="M31" s="26">
        <f t="shared" ca="1" si="16"/>
        <v>2.5</v>
      </c>
      <c r="N31" s="50"/>
      <c r="O31" s="52"/>
      <c r="P31" s="26">
        <f t="shared" si="17"/>
        <v>0</v>
      </c>
      <c r="Q31" s="50">
        <f t="shared" ca="1" si="18"/>
        <v>51</v>
      </c>
      <c r="R31" s="52">
        <f t="shared" ca="1" si="19"/>
        <v>28</v>
      </c>
      <c r="S31" s="26">
        <f t="shared" ca="1" si="20"/>
        <v>79</v>
      </c>
      <c r="T31" s="61">
        <f t="shared" ca="1" si="21"/>
        <v>1.6582278481012658</v>
      </c>
      <c r="U31" s="62">
        <f t="shared" ca="1" si="22"/>
        <v>3.1645569620253164</v>
      </c>
      <c r="V31" s="63">
        <f t="shared" ca="1" si="23"/>
        <v>0</v>
      </c>
      <c r="W31" s="3"/>
      <c r="X31" s="1"/>
    </row>
    <row r="32" spans="1:24" ht="15" hidden="1" customHeight="1" outlineLevel="1">
      <c r="A32" s="46">
        <v>16</v>
      </c>
      <c r="B32" s="28" t="s">
        <v>104</v>
      </c>
      <c r="C32" s="22">
        <v>2</v>
      </c>
      <c r="D32" s="56">
        <v>3</v>
      </c>
      <c r="E32" s="23">
        <v>2</v>
      </c>
      <c r="F32" s="20"/>
      <c r="G32" s="21"/>
      <c r="H32" s="51">
        <f t="shared" ca="1" si="13"/>
        <v>124</v>
      </c>
      <c r="I32" s="46">
        <f t="shared" ca="1" si="14"/>
        <v>7</v>
      </c>
      <c r="J32" s="28">
        <f t="shared" ca="1" si="15"/>
        <v>131</v>
      </c>
      <c r="K32" s="51">
        <f ca="1">IF($C32&lt;&gt;"",CHOOSE($C32,0,0,OFFSET(WardensTauntT,0,Level)))+IF($D32&lt;&gt;"",CHOOSE($D32,0,0,OFFSET(WardensTauntT,0,Level)))+IF($E32&lt;&gt;"",CHOOSE($E32,0,0,OFFSET(WardensTauntT,0,Level)))+IF($F32&lt;&gt;"",CHOOSE($F32,0,0,OFFSET(WardensTauntT,0,Level)))+IF($G32&lt;&gt;"",CHOOSE($G32,0,0,OFFSET(WardensTauntT,0,Level)))+5*OFFSET(MadStrikeT,0,Level)</f>
        <v>3</v>
      </c>
      <c r="L32" s="46"/>
      <c r="M32" s="28">
        <f t="shared" ca="1" si="16"/>
        <v>3</v>
      </c>
      <c r="N32" s="51"/>
      <c r="O32" s="46"/>
      <c r="P32" s="28">
        <f t="shared" si="17"/>
        <v>0</v>
      </c>
      <c r="Q32" s="51">
        <f t="shared" ca="1" si="18"/>
        <v>51</v>
      </c>
      <c r="R32" s="46">
        <f t="shared" ca="1" si="19"/>
        <v>28</v>
      </c>
      <c r="S32" s="28">
        <f t="shared" ca="1" si="20"/>
        <v>79</v>
      </c>
      <c r="T32" s="64">
        <f t="shared" ca="1" si="21"/>
        <v>1.6582278481012658</v>
      </c>
      <c r="U32" s="65">
        <f t="shared" ca="1" si="22"/>
        <v>3.79746835443038</v>
      </c>
      <c r="V32" s="66">
        <f t="shared" ca="1" si="23"/>
        <v>0</v>
      </c>
      <c r="W32" s="3"/>
      <c r="X32" s="1"/>
    </row>
    <row r="33" spans="1:24" ht="15" customHeight="1" collapsed="1">
      <c r="A33" s="52">
        <v>17</v>
      </c>
      <c r="B33" s="2" t="s">
        <v>22</v>
      </c>
      <c r="C33" s="16">
        <v>2</v>
      </c>
      <c r="D33" s="30">
        <v>1</v>
      </c>
      <c r="E33" s="17">
        <v>2</v>
      </c>
      <c r="F33" s="14"/>
      <c r="G33" s="15"/>
      <c r="H33" s="50">
        <f ca="1">IF($C33&lt;&gt;"",CHOOSE($C33,MainHandDmg,OFFSET(ShieldBashDD,0,Level),OFFSET(WardensTauntDD,0,Level)))+IF($D33&lt;&gt;"",CHOOSE($D33,MainHandDmg,OFFSET(ShieldBashDD,0,Level),OFFSET(WardensTauntDD,0,Level)))+IF($E33&lt;&gt;"",CHOOSE($E33,MainHandDmg,OFFSET(ShieldBashDD,0,Level),OFFSET(WardensTauntDD,0,Level)))+IF($F33&lt;&gt;"",CHOOSE($F33,MainHandDmg,OFFSET(ShieldBashDD,0,Level),OFFSET(WardensTauntDD,0,Level)))+IF($G33&lt;&gt;"",CHOOSE($G33,MainHandDmg,OFFSET(ShieldBashDD,0,Level),OFFSET(WardensTauntDD,0,Level)))+OFFSET(SafeguardDD,0,Level)</f>
        <v>112</v>
      </c>
      <c r="I33" s="52">
        <f t="shared" ca="1" si="14"/>
        <v>0</v>
      </c>
      <c r="J33" s="26">
        <f t="shared" ca="1" si="0"/>
        <v>112</v>
      </c>
      <c r="K33" s="50">
        <f ca="1">IF($C33&lt;&gt;"",CHOOSE($C33,0,0,OFFSET(WardensTauntT,0,Level)))+IF($D33&lt;&gt;"",CHOOSE($D33,0,0,OFFSET(WardensTauntT,0,Level)))+IF($E33&lt;&gt;"",CHOOSE($E33,0,0,OFFSET(WardensTauntT,0,Level)))+IF($F33&lt;&gt;"",CHOOSE($F33,0,0,OFFSET(WardensTauntT,0,Level)))+IF($G33&lt;&gt;"",CHOOSE($G33,0,0,OFFSET(WardensTauntT,0,Level)))</f>
        <v>0</v>
      </c>
      <c r="L33" s="52"/>
      <c r="M33" s="26">
        <f t="shared" ca="1" si="1"/>
        <v>0</v>
      </c>
      <c r="N33" s="50">
        <f ca="1">OFFSET(SafeguardH,0,Level)</f>
        <v>33</v>
      </c>
      <c r="O33" s="52">
        <f ca="1">OFFSET(SafeguardHoT,0,Level)*(2+NOT(ISBLANK(Perserverance))+NOT(ISBLANK(NeverSayDie)))*(IF(WayoftheShield4="",1,1.1))</f>
        <v>66</v>
      </c>
      <c r="P33" s="26">
        <f t="shared" ca="1" si="2"/>
        <v>99</v>
      </c>
      <c r="Q33" s="50">
        <f t="shared" ca="1" si="3"/>
        <v>53</v>
      </c>
      <c r="R33" s="52">
        <f ca="1">OFFSET(SafeguardPwr,0,Level)*(1-0.05*(NOT(ISBLANK(EfficientShieldwork))))</f>
        <v>33</v>
      </c>
      <c r="S33" s="26">
        <f t="shared" ca="1" si="4"/>
        <v>86</v>
      </c>
      <c r="T33" s="61">
        <f t="shared" ca="1" si="5"/>
        <v>1.3023255813953489</v>
      </c>
      <c r="U33" s="62">
        <f t="shared" ca="1" si="6"/>
        <v>0</v>
      </c>
      <c r="V33" s="63">
        <f t="shared" ca="1" si="7"/>
        <v>1.1511627906976745</v>
      </c>
      <c r="W33" s="3"/>
      <c r="X33" s="1"/>
    </row>
    <row r="34" spans="1:24" ht="15" customHeight="1">
      <c r="A34" s="52">
        <v>18</v>
      </c>
      <c r="B34" s="2" t="s">
        <v>23</v>
      </c>
      <c r="C34" s="16">
        <v>2</v>
      </c>
      <c r="D34" s="30">
        <v>1</v>
      </c>
      <c r="E34" s="41">
        <v>3</v>
      </c>
      <c r="F34" s="14"/>
      <c r="G34" s="15"/>
      <c r="H34" s="50">
        <f ca="1">IF($C34&lt;&gt;"",CHOOSE($C34,MainHandDmg,OFFSET(ShieldBashDD,0,Level),OFFSET(WardensTauntDD,0,Level)))+IF($D34&lt;&gt;"",CHOOSE($D34,MainHandDmg,OFFSET(ShieldBashDD,0,Level),OFFSET(WardensTauntDD,0,Level)))+IF($E34&lt;&gt;"",CHOOSE($E34,MainHandDmg,OFFSET(ShieldBashDD,0,Level),OFFSET(WardensTauntDD,0,Level)))+IF($F34&lt;&gt;"",CHOOSE($F34,MainHandDmg,OFFSET(ShieldBashDD,0,Level),OFFSET(WardensTauntDD,0,Level)))+IF($G34&lt;&gt;"",CHOOSE($G34,MainHandDmg,OFFSET(ShieldBashDD,0,Level),OFFSET(WardensTauntDD,0,Level)))</f>
        <v>77</v>
      </c>
      <c r="I34" s="52">
        <f t="shared" ca="1" si="14"/>
        <v>7</v>
      </c>
      <c r="J34" s="26">
        <f t="shared" ca="1" si="0"/>
        <v>84</v>
      </c>
      <c r="K34" s="50">
        <f ca="1">IF($C34&lt;&gt;"",CHOOSE($C34,0,0,OFFSET(WardensTauntT,0,Level)))+IF($D34&lt;&gt;"",CHOOSE($D34,0,0,OFFSET(WardensTauntT,0,Level)))+IF($E34&lt;&gt;"",CHOOSE($E34,0,0,OFFSET(WardensTauntT,0,Level)))+IF($F34&lt;&gt;"",CHOOSE($F34,0,0,OFFSET(WardensTauntT,0,Level)))+IF($G34&lt;&gt;"",CHOOSE($G34,0,0,OFFSET(WardensTauntT,0,Level)))</f>
        <v>0.5</v>
      </c>
      <c r="L34" s="52"/>
      <c r="M34" s="26">
        <f t="shared" ca="1" si="1"/>
        <v>0.5</v>
      </c>
      <c r="N34" s="50"/>
      <c r="O34" s="52"/>
      <c r="P34" s="26">
        <f t="shared" si="2"/>
        <v>0</v>
      </c>
      <c r="Q34" s="50">
        <f t="shared" ca="1" si="3"/>
        <v>53</v>
      </c>
      <c r="R34" s="52">
        <f ca="1">OFFSET(ShieldUpPwr,0,Level)*(1-0.05*(NOT(ISBLANK(EfficientShieldwork))))</f>
        <v>23</v>
      </c>
      <c r="S34" s="26">
        <f t="shared" ca="1" si="4"/>
        <v>76</v>
      </c>
      <c r="T34" s="61">
        <f t="shared" ca="1" si="5"/>
        <v>1.1052631578947369</v>
      </c>
      <c r="U34" s="62">
        <f t="shared" ca="1" si="6"/>
        <v>0.6578947368421052</v>
      </c>
      <c r="V34" s="63">
        <f t="shared" ca="1" si="7"/>
        <v>0</v>
      </c>
      <c r="W34" s="3" t="s">
        <v>24</v>
      </c>
      <c r="X34" s="1"/>
    </row>
    <row r="35" spans="1:24" ht="15" customHeight="1">
      <c r="A35" s="52">
        <v>19</v>
      </c>
      <c r="B35" s="2" t="s">
        <v>25</v>
      </c>
      <c r="C35" s="39">
        <v>3</v>
      </c>
      <c r="D35" s="17">
        <v>2</v>
      </c>
      <c r="E35" s="41">
        <v>3</v>
      </c>
      <c r="F35" s="14"/>
      <c r="G35" s="15"/>
      <c r="H35" s="50">
        <f ca="1">IF($C35&lt;&gt;"",CHOOSE($C35,MainHandDmg,OFFSET(ShieldBashDD,0,Level),OFFSET(WardensTauntDD,0,Level)))+IF($D35&lt;&gt;"",CHOOSE($D35,MainHandDmg,OFFSET(ShieldBashDD,0,Level),OFFSET(WardensTauntDD,0,Level)))+IF($E35&lt;&gt;"",CHOOSE($E35,MainHandDmg,OFFSET(ShieldBashDD,0,Level),OFFSET(WardensTauntDD,0,Level)))+IF($F35&lt;&gt;"",CHOOSE($F35,MainHandDmg,OFFSET(ShieldBashDD,0,Level),OFFSET(WardensTauntDD,0,Level)))+IF($G35&lt;&gt;"",CHOOSE($G35,MainHandDmg,OFFSET(ShieldBashDD,0,Level),OFFSET(WardensTauntDD,0,Level)))+OFFSET(BrinkofVictoryDD,0,Level)</f>
        <v>79</v>
      </c>
      <c r="I35" s="52">
        <f ca="1">IF($C35&lt;&gt;0,CHOOSE($C35,0,0,OFFSET(WardensTauntDoT,0,Level)))+IF($D35&lt;&gt;0,CHOOSE($D35,0,0,OFFSET(WardensTauntDoT,0,Level)))+IF($E35&lt;&gt;0,CHOOSE($E35,0,0,OFFSET(WardensTauntDoT,0,Level)))+IF($F35&lt;&gt;0,CHOOSE($F35,0,0,OFFSET(WardensTauntDoT,0,Level)))+IF($G35&lt;&gt;0,CHOOSE($G35,0,0,OFFSET(WardensTauntDoT,0,Level)))+OFFSET(BrinkofVictoryDoT,0,Level)*(1+0.05*NOT(ISBLANK(TerribleVisage))+IF(WayoftheFist4="",0,0.05))*(4+NOT(ISBLANK(Confidence))+IF(WayoftheFist3="",0,1))</f>
        <v>130</v>
      </c>
      <c r="J35" s="26">
        <f t="shared" ca="1" si="0"/>
        <v>209</v>
      </c>
      <c r="K35" s="50">
        <f ca="1">IF($C35&lt;&gt;"",CHOOSE($C35,0,0,OFFSET(WardensTauntT,0,Level)))+IF($D35&lt;&gt;"",CHOOSE($D35,0,0,OFFSET(WardensTauntT,0,Level)))+IF($E35&lt;&gt;"",CHOOSE($E35,0,0,OFFSET(WardensTauntT,0,Level)))+IF($F35&lt;&gt;"",CHOOSE($F35,0,0,OFFSET(WardensTauntT,0,Level)))+IF($G35&lt;&gt;"",CHOOSE($G35,0,0,OFFSET(WardensTauntT,0,Level)))+OFFSET(BrinkofVictoryT,0,Level)</f>
        <v>1.5</v>
      </c>
      <c r="L35" s="52"/>
      <c r="M35" s="26">
        <f t="shared" ca="1" si="1"/>
        <v>1.5</v>
      </c>
      <c r="N35" s="50"/>
      <c r="O35" s="52"/>
      <c r="P35" s="26">
        <f t="shared" si="2"/>
        <v>0</v>
      </c>
      <c r="Q35" s="50">
        <f t="shared" ca="1" si="3"/>
        <v>51</v>
      </c>
      <c r="R35" s="52">
        <f ca="1">OFFSET(BrinkofVictoryPwr,0,Level)</f>
        <v>28</v>
      </c>
      <c r="S35" s="26">
        <f t="shared" ca="1" si="4"/>
        <v>79</v>
      </c>
      <c r="T35" s="61">
        <f t="shared" ca="1" si="5"/>
        <v>2.6455696202531644</v>
      </c>
      <c r="U35" s="62">
        <f t="shared" ca="1" si="6"/>
        <v>1.89873417721519</v>
      </c>
      <c r="V35" s="63">
        <f t="shared" ca="1" si="7"/>
        <v>0</v>
      </c>
      <c r="W35" s="3"/>
      <c r="X35" s="1"/>
    </row>
    <row r="36" spans="1:24" ht="15" customHeight="1">
      <c r="A36" s="46">
        <v>19</v>
      </c>
      <c r="B36" s="6" t="s">
        <v>26</v>
      </c>
      <c r="C36" s="19">
        <v>1</v>
      </c>
      <c r="D36" s="56">
        <v>3</v>
      </c>
      <c r="E36" s="29">
        <v>1</v>
      </c>
      <c r="F36" s="20"/>
      <c r="G36" s="21"/>
      <c r="H36" s="51">
        <f ca="1">IF($C36&lt;&gt;"",CHOOSE($C36,MainHandDmg,OFFSET(ShieldBashDD,0,Level),OFFSET(WardensTauntDD,0,Level)))+IF($D36&lt;&gt;"",CHOOSE($D36,MainHandDmg,OFFSET(ShieldBashDD,0,Level),OFFSET(WardensTauntDD,0,Level)))+IF($E36&lt;&gt;"",CHOOSE($E36,MainHandDmg,OFFSET(ShieldBashDD,0,Level),OFFSET(WardensTauntDD,0,Level)))+IF($F36&lt;&gt;"",CHOOSE($F36,MainHandDmg,OFFSET(ShieldBashDD,0,Level),OFFSET(WardensTauntDD,0,Level)))+IF($G36&lt;&gt;"",CHOOSE($G36,MainHandDmg,OFFSET(ShieldBashDD,0,Level),OFFSET(WardensTauntDD,0,Level)))+(MainHandDmg*2+OFFSET(CombStrikeDD,0,Level))*(1+0.05*NOT(ISBLANK(Veteran))+IF(WayoftheSpear4="",0,0.05))</f>
        <v>192</v>
      </c>
      <c r="I36" s="46">
        <f ca="1">IF($C36&lt;&gt;0,CHOOSE($C36,0,0,OFFSET(WardensTauntDoT,0,Level)))+IF($D36&lt;&gt;0,CHOOSE($D36,0,0,OFFSET(WardensTauntDoT,0,Level)))+IF($E36&lt;&gt;0,CHOOSE($E36,0,0,OFFSET(WardensTauntDoT,0,Level)))+IF($F36&lt;&gt;0,CHOOSE($F36,0,0,OFFSET(WardensTauntDoT,0,Level)))+IF($G36&lt;&gt;0,CHOOSE($G36,0,0,OFFSET(WardensTauntDoT,0,Level)))</f>
        <v>7</v>
      </c>
      <c r="J36" s="28">
        <f t="shared" ca="1" si="0"/>
        <v>199</v>
      </c>
      <c r="K36" s="51">
        <f ca="1">IF($C36&lt;&gt;"",CHOOSE($C36,0,0,OFFSET(WardensTauntT,0,Level)))+IF($D36&lt;&gt;"",CHOOSE($D36,0,0,OFFSET(WardensTauntT,0,Level)))+IF($E36&lt;&gt;"",CHOOSE($E36,0,0,OFFSET(WardensTauntT,0,Level)))+IF($F36&lt;&gt;"",CHOOSE($F36,0,0,OFFSET(WardensTauntT,0,Level)))+IF($G36&lt;&gt;"",CHOOSE($G36,0,0,OFFSET(WardensTauntT,0,Level)))+OFFSET(CombStrikeT,0,Level)</f>
        <v>1</v>
      </c>
      <c r="L36" s="46"/>
      <c r="M36" s="28">
        <f t="shared" ca="1" si="1"/>
        <v>1</v>
      </c>
      <c r="N36" s="51"/>
      <c r="O36" s="46"/>
      <c r="P36" s="28">
        <f t="shared" si="2"/>
        <v>0</v>
      </c>
      <c r="Q36" s="51">
        <f t="shared" ca="1" si="3"/>
        <v>55</v>
      </c>
      <c r="R36" s="46">
        <f ca="1">OFFSET(CombStrikePwr,0,Level)*(IF(WayoftheSpear2="",1,0.95))</f>
        <v>28</v>
      </c>
      <c r="S36" s="28">
        <f t="shared" ca="1" si="4"/>
        <v>83</v>
      </c>
      <c r="T36" s="64">
        <f t="shared" ca="1" si="5"/>
        <v>2.3975903614457832</v>
      </c>
      <c r="U36" s="65">
        <f t="shared" ca="1" si="6"/>
        <v>1.2048192771084338</v>
      </c>
      <c r="V36" s="66">
        <f t="shared" ca="1" si="7"/>
        <v>0</v>
      </c>
      <c r="W36" s="3"/>
      <c r="X36" s="1"/>
    </row>
    <row r="37" spans="1:24" ht="15" customHeight="1">
      <c r="A37" s="43">
        <v>21</v>
      </c>
      <c r="B37" s="25" t="s">
        <v>91</v>
      </c>
      <c r="C37" s="53">
        <v>3</v>
      </c>
      <c r="D37" s="8">
        <v>1</v>
      </c>
      <c r="E37" s="12">
        <v>2</v>
      </c>
      <c r="F37" s="9"/>
      <c r="G37" s="10"/>
      <c r="H37" s="49">
        <f t="shared" ref="H37:H44" ca="1" si="24">IF($C37&lt;&gt;"",CHOOSE($C37,MainHandDmg,OFFSET(ShieldBashDD,0,Level),OFFSET(WardensTauntDD,0,Level)))+IF($D37&lt;&gt;"",CHOOSE($D37,MainHandDmg,OFFSET(ShieldBashDD,0,Level),OFFSET(WardensTauntDD,0,Level)))+IF($E37&lt;&gt;"",CHOOSE($E37,MainHandDmg,OFFSET(ShieldBashDD,0,Level),OFFSET(WardensTauntDD,0,Level)))+IF($F37&lt;&gt;"",CHOOSE($F37,MainHandDmg,OFFSET(ShieldBashDD,0,Level),OFFSET(WardensTauntDD,0,Level)))+IF($G37&lt;&gt;"",CHOOSE($G37,MainHandDmg,OFFSET(ShieldBashDD,0,Level),OFFSET(WardensTauntDD,0,Level)))</f>
        <v>77</v>
      </c>
      <c r="I37" s="43">
        <f ca="1">IF($C37&lt;&gt;0,CHOOSE($C37,0,0,OFFSET(WardensTauntDoT,0,Level)))+IF($D37&lt;&gt;0,CHOOSE($D37,0,0,OFFSET(WardensTauntDoT,0,Level)))+IF($E37&lt;&gt;0,CHOOSE($E37,0,0,OFFSET(WardensTauntDoT,0,Level)))+IF($F37&lt;&gt;0,CHOOSE($F37,0,0,OFFSET(WardensTauntDoT,0,Level)))+IF($G37&lt;&gt;0,CHOOSE($G37,0,0,OFFSET(WardensTauntDoT,0,Level)))+1*OFFSET(FierceResolveDoT,0,Level)*4</f>
        <v>7</v>
      </c>
      <c r="J37" s="44">
        <f t="shared" ca="1" si="0"/>
        <v>84</v>
      </c>
      <c r="K37" s="49">
        <f t="shared" ref="K37:K45" ca="1" si="25">IF($C37&lt;&gt;"",CHOOSE($C37,0,0,OFFSET(WardensTauntT,0,Level)))+IF($D37&lt;&gt;"",CHOOSE($D37,0,0,OFFSET(WardensTauntT,0,Level)))+IF($E37&lt;&gt;"",CHOOSE($E37,0,0,OFFSET(WardensTauntT,0,Level)))+IF($F37&lt;&gt;"",CHOOSE($F37,0,0,OFFSET(WardensTauntT,0,Level)))+IF($G37&lt;&gt;"",CHOOSE($G37,0,0,OFFSET(WardensTauntT,0,Level)))</f>
        <v>0.5</v>
      </c>
      <c r="L37" s="43"/>
      <c r="M37" s="44">
        <f t="shared" ca="1" si="1"/>
        <v>0.5</v>
      </c>
      <c r="N37" s="49"/>
      <c r="O37" s="43">
        <f ca="1">1*OFFSET(FierceResolveHoT,0,Level)*4</f>
        <v>0</v>
      </c>
      <c r="P37" s="44">
        <f t="shared" ca="1" si="2"/>
        <v>0</v>
      </c>
      <c r="Q37" s="49">
        <f t="shared" ca="1" si="3"/>
        <v>53</v>
      </c>
      <c r="R37" s="43">
        <f t="shared" ref="R37:R44" ca="1" si="26">OFFSET(FierceResolvePwr,0,Level)</f>
        <v>0</v>
      </c>
      <c r="S37" s="44">
        <f t="shared" ca="1" si="4"/>
        <v>53</v>
      </c>
      <c r="T37" s="58">
        <f t="shared" ca="1" si="5"/>
        <v>1.5849056603773586</v>
      </c>
      <c r="U37" s="59">
        <f t="shared" ca="1" si="6"/>
        <v>0.94339622641509435</v>
      </c>
      <c r="V37" s="60">
        <f t="shared" ca="1" si="7"/>
        <v>0</v>
      </c>
      <c r="W37" s="3" t="s">
        <v>27</v>
      </c>
      <c r="X37" s="1"/>
    </row>
    <row r="38" spans="1:24" ht="15" customHeight="1" outlineLevel="1">
      <c r="A38" s="52">
        <v>21</v>
      </c>
      <c r="B38" s="26" t="s">
        <v>92</v>
      </c>
      <c r="C38" s="39">
        <v>3</v>
      </c>
      <c r="D38" s="30">
        <v>1</v>
      </c>
      <c r="E38" s="17">
        <v>2</v>
      </c>
      <c r="F38" s="14"/>
      <c r="G38" s="15"/>
      <c r="H38" s="50">
        <f t="shared" ca="1" si="24"/>
        <v>77</v>
      </c>
      <c r="I38" s="52">
        <f ca="1">IF($C38&lt;&gt;0,CHOOSE($C38,0,0,OFFSET(WardensTauntDoT,0,Level)))+IF($D38&lt;&gt;0,CHOOSE($D38,0,0,OFFSET(WardensTauntDoT,0,Level)))+IF($E38&lt;&gt;0,CHOOSE($E38,0,0,OFFSET(WardensTauntDoT,0,Level)))+IF($F38&lt;&gt;0,CHOOSE($F38,0,0,OFFSET(WardensTauntDoT,0,Level)))+IF($G38&lt;&gt;0,CHOOSE($G38,0,0,OFFSET(WardensTauntDoT,0,Level)))+2*OFFSET(FierceResolveDoT,0,Level)*4</f>
        <v>7</v>
      </c>
      <c r="J38" s="26">
        <f t="shared" ca="1" si="0"/>
        <v>84</v>
      </c>
      <c r="K38" s="50">
        <f t="shared" ca="1" si="25"/>
        <v>0.5</v>
      </c>
      <c r="L38" s="52"/>
      <c r="M38" s="26">
        <f t="shared" ca="1" si="1"/>
        <v>0.5</v>
      </c>
      <c r="N38" s="50"/>
      <c r="O38" s="52">
        <f ca="1">2*OFFSET(FierceResolveHoT,0,Level)*4</f>
        <v>0</v>
      </c>
      <c r="P38" s="26">
        <f t="shared" ca="1" si="2"/>
        <v>0</v>
      </c>
      <c r="Q38" s="50">
        <f t="shared" ca="1" si="3"/>
        <v>53</v>
      </c>
      <c r="R38" s="52">
        <f t="shared" ca="1" si="26"/>
        <v>0</v>
      </c>
      <c r="S38" s="26">
        <f t="shared" ca="1" si="4"/>
        <v>53</v>
      </c>
      <c r="T38" s="61">
        <f t="shared" ca="1" si="5"/>
        <v>1.5849056603773586</v>
      </c>
      <c r="U38" s="62">
        <f t="shared" ca="1" si="6"/>
        <v>0.94339622641509435</v>
      </c>
      <c r="V38" s="63">
        <f t="shared" ca="1" si="7"/>
        <v>0</v>
      </c>
      <c r="W38" s="3"/>
      <c r="X38" s="1"/>
    </row>
    <row r="39" spans="1:24" ht="15" customHeight="1" outlineLevel="1">
      <c r="A39" s="52">
        <v>21</v>
      </c>
      <c r="B39" s="26" t="s">
        <v>93</v>
      </c>
      <c r="C39" s="39">
        <v>3</v>
      </c>
      <c r="D39" s="30">
        <v>1</v>
      </c>
      <c r="E39" s="17">
        <v>2</v>
      </c>
      <c r="F39" s="14"/>
      <c r="G39" s="15"/>
      <c r="H39" s="50">
        <f t="shared" ca="1" si="24"/>
        <v>77</v>
      </c>
      <c r="I39" s="52">
        <f ca="1">IF($C39&lt;&gt;0,CHOOSE($C39,0,0,OFFSET(WardensTauntDoT,0,Level)))+IF($D39&lt;&gt;0,CHOOSE($D39,0,0,OFFSET(WardensTauntDoT,0,Level)))+IF($E39&lt;&gt;0,CHOOSE($E39,0,0,OFFSET(WardensTauntDoT,0,Level)))+IF($F39&lt;&gt;0,CHOOSE($F39,0,0,OFFSET(WardensTauntDoT,0,Level)))+IF($G39&lt;&gt;0,CHOOSE($G39,0,0,OFFSET(WardensTauntDoT,0,Level)))+3*OFFSET(FierceResolveDoT,0,Level)*4</f>
        <v>7</v>
      </c>
      <c r="J39" s="26">
        <f t="shared" ca="1" si="0"/>
        <v>84</v>
      </c>
      <c r="K39" s="50">
        <f t="shared" ca="1" si="25"/>
        <v>0.5</v>
      </c>
      <c r="L39" s="52"/>
      <c r="M39" s="26">
        <f t="shared" ca="1" si="1"/>
        <v>0.5</v>
      </c>
      <c r="N39" s="50"/>
      <c r="O39" s="52">
        <f ca="1">3*OFFSET(FierceResolveHoT,0,Level)*4</f>
        <v>0</v>
      </c>
      <c r="P39" s="26">
        <f t="shared" ca="1" si="2"/>
        <v>0</v>
      </c>
      <c r="Q39" s="50">
        <f t="shared" ca="1" si="3"/>
        <v>53</v>
      </c>
      <c r="R39" s="52">
        <f t="shared" ca="1" si="26"/>
        <v>0</v>
      </c>
      <c r="S39" s="26">
        <f t="shared" ca="1" si="4"/>
        <v>53</v>
      </c>
      <c r="T39" s="61">
        <f t="shared" ca="1" si="5"/>
        <v>1.5849056603773586</v>
      </c>
      <c r="U39" s="62">
        <f t="shared" ca="1" si="6"/>
        <v>0.94339622641509435</v>
      </c>
      <c r="V39" s="63">
        <f t="shared" ca="1" si="7"/>
        <v>0</v>
      </c>
      <c r="W39" s="3"/>
      <c r="X39" s="1"/>
    </row>
    <row r="40" spans="1:24" ht="15" customHeight="1" outlineLevel="1">
      <c r="A40" s="52">
        <v>21</v>
      </c>
      <c r="B40" s="26" t="s">
        <v>94</v>
      </c>
      <c r="C40" s="39">
        <v>3</v>
      </c>
      <c r="D40" s="30">
        <v>1</v>
      </c>
      <c r="E40" s="17">
        <v>2</v>
      </c>
      <c r="F40" s="14"/>
      <c r="G40" s="15"/>
      <c r="H40" s="50">
        <f t="shared" ca="1" si="24"/>
        <v>77</v>
      </c>
      <c r="I40" s="52">
        <f ca="1">IF($C40&lt;&gt;0,CHOOSE($C40,0,0,OFFSET(WardensTauntDoT,0,Level)))+IF($D40&lt;&gt;0,CHOOSE($D40,0,0,OFFSET(WardensTauntDoT,0,Level)))+IF($E40&lt;&gt;0,CHOOSE($E40,0,0,OFFSET(WardensTauntDoT,0,Level)))+IF($F40&lt;&gt;0,CHOOSE($F40,0,0,OFFSET(WardensTauntDoT,0,Level)))+IF($G40&lt;&gt;0,CHOOSE($G40,0,0,OFFSET(WardensTauntDoT,0,Level)))+4*OFFSET(FierceResolveDoT,0,Level)*4</f>
        <v>7</v>
      </c>
      <c r="J40" s="26">
        <f t="shared" ca="1" si="0"/>
        <v>84</v>
      </c>
      <c r="K40" s="50">
        <f t="shared" ca="1" si="25"/>
        <v>0.5</v>
      </c>
      <c r="L40" s="52"/>
      <c r="M40" s="26">
        <f t="shared" ca="1" si="1"/>
        <v>0.5</v>
      </c>
      <c r="N40" s="50"/>
      <c r="O40" s="52">
        <f ca="1">4*OFFSET(FierceResolveHoT,0,Level)*4</f>
        <v>0</v>
      </c>
      <c r="P40" s="26">
        <f t="shared" ca="1" si="2"/>
        <v>0</v>
      </c>
      <c r="Q40" s="50">
        <f t="shared" ca="1" si="3"/>
        <v>53</v>
      </c>
      <c r="R40" s="52">
        <f t="shared" ca="1" si="26"/>
        <v>0</v>
      </c>
      <c r="S40" s="26">
        <f t="shared" ca="1" si="4"/>
        <v>53</v>
      </c>
      <c r="T40" s="61">
        <f t="shared" ca="1" si="5"/>
        <v>1.5849056603773586</v>
      </c>
      <c r="U40" s="62">
        <f t="shared" ca="1" si="6"/>
        <v>0.94339622641509435</v>
      </c>
      <c r="V40" s="63">
        <f t="shared" ca="1" si="7"/>
        <v>0</v>
      </c>
      <c r="W40" s="3"/>
      <c r="X40" s="1"/>
    </row>
    <row r="41" spans="1:24" ht="15" customHeight="1" outlineLevel="1">
      <c r="A41" s="52">
        <v>21</v>
      </c>
      <c r="B41" s="26" t="s">
        <v>95</v>
      </c>
      <c r="C41" s="39">
        <v>3</v>
      </c>
      <c r="D41" s="30">
        <v>1</v>
      </c>
      <c r="E41" s="17">
        <v>2</v>
      </c>
      <c r="F41" s="14"/>
      <c r="G41" s="15"/>
      <c r="H41" s="50">
        <f t="shared" ca="1" si="24"/>
        <v>77</v>
      </c>
      <c r="I41" s="52">
        <f ca="1">IF($C41&lt;&gt;0,CHOOSE($C41,0,0,OFFSET(WardensTauntDoT,0,Level)))+IF($D41&lt;&gt;0,CHOOSE($D41,0,0,OFFSET(WardensTauntDoT,0,Level)))+IF($E41&lt;&gt;0,CHOOSE($E41,0,0,OFFSET(WardensTauntDoT,0,Level)))+IF($F41&lt;&gt;0,CHOOSE($F41,0,0,OFFSET(WardensTauntDoT,0,Level)))+IF($G41&lt;&gt;0,CHOOSE($G41,0,0,OFFSET(WardensTauntDoT,0,Level)))+5*OFFSET(FierceResolveDoT,0,Level)*4</f>
        <v>7</v>
      </c>
      <c r="J41" s="26">
        <f t="shared" ref="J41:J66" ca="1" si="27">SUM(H41:I41)</f>
        <v>84</v>
      </c>
      <c r="K41" s="50">
        <f t="shared" ca="1" si="25"/>
        <v>0.5</v>
      </c>
      <c r="L41" s="52"/>
      <c r="M41" s="26">
        <f t="shared" ref="M41:M66" ca="1" si="28">SUM(K41:L41)</f>
        <v>0.5</v>
      </c>
      <c r="N41" s="50"/>
      <c r="O41" s="52">
        <f ca="1">5*OFFSET(FierceResolveHoT,0,Level)*4</f>
        <v>0</v>
      </c>
      <c r="P41" s="26">
        <f t="shared" ref="P41:P66" ca="1" si="29">SUM(N41:O41)</f>
        <v>0</v>
      </c>
      <c r="Q41" s="50">
        <f t="shared" ref="Q41:Q66" ca="1" si="30">IF($C41&lt;&gt;"",CHOOSE($C41,((OFFSET(QuickThrustPwr,0,Level)*(1-0.4*NOT(ISBLANK(EfficientThrust))))*(1-0.4*NOT(ISBLANK(EfficientThrust)))),OFFSET(ShieldBashPwr,0,Level),OFFSET(WardensTauntPwr,0,Level)))+IF($D41&lt;&gt;"",CHOOSE($D41,(OFFSET(QuickThrustPwr,0,Level)*(1-0.4*NOT(ISBLANK(EfficientThrust)))),OFFSET(ShieldBashPwr,0,Level),OFFSET(WardensTauntPwr,0,Level)))+IF($E41&lt;&gt;"",CHOOSE($E41,(OFFSET(QuickThrustPwr,0,Level)*(1-0.4*NOT(ISBLANK(EfficientThrust)))),OFFSET(ShieldBashPwr,0,Level),OFFSET(WardensTauntPwr,0,Level)))+IF($F41&lt;&gt;"",CHOOSE($F41,(OFFSET(QuickThrustPwr,0,Level)*(1-0.4*NOT(ISBLANK(EfficientThrust)))),OFFSET(ShieldBashPwr,0,Level),OFFSET(WardensTauntPwr,0,Level)))+IF($G41&lt;&gt;"",CHOOSE($G41,(OFFSET(QuickThrustPwr,0,Level)*(1-0.4*NOT(ISBLANK(EfficientThrust)))),OFFSET(ShieldBashPwr,0,Level),OFFSET(WardensTauntPwr,0,Level)))</f>
        <v>53</v>
      </c>
      <c r="R41" s="52">
        <f t="shared" ca="1" si="26"/>
        <v>0</v>
      </c>
      <c r="S41" s="26">
        <f t="shared" ref="S41:S66" ca="1" si="31">SUM(Q41:R41)</f>
        <v>53</v>
      </c>
      <c r="T41" s="61">
        <f t="shared" ref="T41:T66" ca="1" si="32">J41/S41</f>
        <v>1.5849056603773586</v>
      </c>
      <c r="U41" s="62">
        <f t="shared" ref="U41:U66" ca="1" si="33">M41/S41*100</f>
        <v>0.94339622641509435</v>
      </c>
      <c r="V41" s="63">
        <f t="shared" ref="V41:V66" ca="1" si="34">P41/S41</f>
        <v>0</v>
      </c>
      <c r="W41" s="3"/>
      <c r="X41" s="1"/>
    </row>
    <row r="42" spans="1:24" ht="15" customHeight="1" outlineLevel="1">
      <c r="A42" s="52">
        <v>21</v>
      </c>
      <c r="B42" s="26" t="s">
        <v>96</v>
      </c>
      <c r="C42" s="39">
        <v>3</v>
      </c>
      <c r="D42" s="30">
        <v>1</v>
      </c>
      <c r="E42" s="17">
        <v>2</v>
      </c>
      <c r="F42" s="14"/>
      <c r="G42" s="15"/>
      <c r="H42" s="50">
        <f t="shared" ca="1" si="24"/>
        <v>77</v>
      </c>
      <c r="I42" s="52">
        <f ca="1">IF($C42&lt;&gt;0,CHOOSE($C42,0,0,OFFSET(WardensTauntDoT,0,Level)))+IF($D42&lt;&gt;0,CHOOSE($D42,0,0,OFFSET(WardensTauntDoT,0,Level)))+IF($E42&lt;&gt;0,CHOOSE($E42,0,0,OFFSET(WardensTauntDoT,0,Level)))+IF($F42&lt;&gt;0,CHOOSE($F42,0,0,OFFSET(WardensTauntDoT,0,Level)))+IF($G42&lt;&gt;0,CHOOSE($G42,0,0,OFFSET(WardensTauntDoT,0,Level)))+6*OFFSET(FierceResolveDoT,0,Level)*4</f>
        <v>7</v>
      </c>
      <c r="J42" s="26">
        <f t="shared" ca="1" si="27"/>
        <v>84</v>
      </c>
      <c r="K42" s="50">
        <f t="shared" ca="1" si="25"/>
        <v>0.5</v>
      </c>
      <c r="L42" s="52"/>
      <c r="M42" s="26">
        <f t="shared" ca="1" si="28"/>
        <v>0.5</v>
      </c>
      <c r="N42" s="50"/>
      <c r="O42" s="52">
        <f ca="1">6*OFFSET(FierceResolveHoT,0,Level)*4</f>
        <v>0</v>
      </c>
      <c r="P42" s="26">
        <f t="shared" ca="1" si="29"/>
        <v>0</v>
      </c>
      <c r="Q42" s="50">
        <f t="shared" ca="1" si="30"/>
        <v>53</v>
      </c>
      <c r="R42" s="52">
        <f t="shared" ca="1" si="26"/>
        <v>0</v>
      </c>
      <c r="S42" s="26">
        <f t="shared" ca="1" si="31"/>
        <v>53</v>
      </c>
      <c r="T42" s="61">
        <f t="shared" ca="1" si="32"/>
        <v>1.5849056603773586</v>
      </c>
      <c r="U42" s="62">
        <f t="shared" ca="1" si="33"/>
        <v>0.94339622641509435</v>
      </c>
      <c r="V42" s="63">
        <f t="shared" ca="1" si="34"/>
        <v>0</v>
      </c>
      <c r="W42" s="3"/>
      <c r="X42" s="1"/>
    </row>
    <row r="43" spans="1:24" ht="15" customHeight="1" outlineLevel="1">
      <c r="A43" s="52">
        <v>21</v>
      </c>
      <c r="B43" s="26" t="s">
        <v>97</v>
      </c>
      <c r="C43" s="39">
        <v>3</v>
      </c>
      <c r="D43" s="30">
        <v>1</v>
      </c>
      <c r="E43" s="17">
        <v>2</v>
      </c>
      <c r="F43" s="14"/>
      <c r="G43" s="15"/>
      <c r="H43" s="50">
        <f t="shared" ca="1" si="24"/>
        <v>77</v>
      </c>
      <c r="I43" s="52">
        <f ca="1">IF($C43&lt;&gt;0,CHOOSE($C43,0,0,OFFSET(WardensTauntDoT,0,Level)))+IF($D43&lt;&gt;0,CHOOSE($D43,0,0,OFFSET(WardensTauntDoT,0,Level)))+IF($E43&lt;&gt;0,CHOOSE($E43,0,0,OFFSET(WardensTauntDoT,0,Level)))+IF($F43&lt;&gt;0,CHOOSE($F43,0,0,OFFSET(WardensTauntDoT,0,Level)))+IF($G43&lt;&gt;0,CHOOSE($G43,0,0,OFFSET(WardensTauntDoT,0,Level)))+7*OFFSET(FierceResolveDoT,0,Level)*4</f>
        <v>7</v>
      </c>
      <c r="J43" s="26">
        <f t="shared" ca="1" si="27"/>
        <v>84</v>
      </c>
      <c r="K43" s="50">
        <f t="shared" ca="1" si="25"/>
        <v>0.5</v>
      </c>
      <c r="L43" s="52"/>
      <c r="M43" s="26">
        <f t="shared" ca="1" si="28"/>
        <v>0.5</v>
      </c>
      <c r="N43" s="50"/>
      <c r="O43" s="52">
        <f ca="1">7*OFFSET(FierceResolveHoT,0,Level)*4</f>
        <v>0</v>
      </c>
      <c r="P43" s="26">
        <f t="shared" ca="1" si="29"/>
        <v>0</v>
      </c>
      <c r="Q43" s="50">
        <f t="shared" ca="1" si="30"/>
        <v>53</v>
      </c>
      <c r="R43" s="52">
        <f t="shared" ca="1" si="26"/>
        <v>0</v>
      </c>
      <c r="S43" s="26">
        <f t="shared" ca="1" si="31"/>
        <v>53</v>
      </c>
      <c r="T43" s="61">
        <f t="shared" ca="1" si="32"/>
        <v>1.5849056603773586</v>
      </c>
      <c r="U43" s="62">
        <f t="shared" ca="1" si="33"/>
        <v>0.94339622641509435</v>
      </c>
      <c r="V43" s="63">
        <f t="shared" ca="1" si="34"/>
        <v>0</v>
      </c>
      <c r="W43" s="3"/>
      <c r="X43" s="1"/>
    </row>
    <row r="44" spans="1:24" ht="15" customHeight="1" outlineLevel="1">
      <c r="A44" s="46">
        <v>21</v>
      </c>
      <c r="B44" s="28" t="s">
        <v>98</v>
      </c>
      <c r="C44" s="55">
        <v>3</v>
      </c>
      <c r="D44" s="29">
        <v>1</v>
      </c>
      <c r="E44" s="23">
        <v>2</v>
      </c>
      <c r="F44" s="20"/>
      <c r="G44" s="21"/>
      <c r="H44" s="51">
        <f t="shared" ca="1" si="24"/>
        <v>77</v>
      </c>
      <c r="I44" s="46">
        <f ca="1">IF($C44&lt;&gt;0,CHOOSE($C44,0,0,OFFSET(WardensTauntDoT,0,Level)))+IF($D44&lt;&gt;0,CHOOSE($D44,0,0,OFFSET(WardensTauntDoT,0,Level)))+IF($E44&lt;&gt;0,CHOOSE($E44,0,0,OFFSET(WardensTauntDoT,0,Level)))+IF($F44&lt;&gt;0,CHOOSE($F44,0,0,OFFSET(WardensTauntDoT,0,Level)))+IF($G44&lt;&gt;0,CHOOSE($G44,0,0,OFFSET(WardensTauntDoT,0,Level)))+8*OFFSET(FierceResolveDoT,0,Level)*4</f>
        <v>7</v>
      </c>
      <c r="J44" s="28">
        <f t="shared" ca="1" si="27"/>
        <v>84</v>
      </c>
      <c r="K44" s="51">
        <f t="shared" ca="1" si="25"/>
        <v>0.5</v>
      </c>
      <c r="L44" s="46"/>
      <c r="M44" s="28">
        <f t="shared" ca="1" si="28"/>
        <v>0.5</v>
      </c>
      <c r="N44" s="51"/>
      <c r="O44" s="46">
        <f ca="1">8*OFFSET(FierceResolveHoT,0,Level)*4</f>
        <v>0</v>
      </c>
      <c r="P44" s="28">
        <f t="shared" ca="1" si="29"/>
        <v>0</v>
      </c>
      <c r="Q44" s="51">
        <f t="shared" ca="1" si="30"/>
        <v>53</v>
      </c>
      <c r="R44" s="46">
        <f t="shared" ca="1" si="26"/>
        <v>0</v>
      </c>
      <c r="S44" s="28">
        <f t="shared" ca="1" si="31"/>
        <v>53</v>
      </c>
      <c r="T44" s="64">
        <f t="shared" ca="1" si="32"/>
        <v>1.5849056603773586</v>
      </c>
      <c r="U44" s="65">
        <f t="shared" ca="1" si="33"/>
        <v>0.94339622641509435</v>
      </c>
      <c r="V44" s="66">
        <f t="shared" ca="1" si="34"/>
        <v>0</v>
      </c>
      <c r="W44" s="3"/>
      <c r="X44" s="1"/>
    </row>
    <row r="45" spans="1:24" ht="15" customHeight="1">
      <c r="A45" s="42">
        <v>22</v>
      </c>
      <c r="B45" s="32" t="s">
        <v>28</v>
      </c>
      <c r="C45" s="33">
        <v>1</v>
      </c>
      <c r="D45" s="37">
        <v>2</v>
      </c>
      <c r="E45" s="34">
        <v>1</v>
      </c>
      <c r="F45" s="35"/>
      <c r="G45" s="36"/>
      <c r="H45" s="47">
        <f ca="1">IF($C45&lt;&gt;"",CHOOSE($C45,MainHandDmg,OFFSET(ShieldBashDD,0,Level),OFFSET(WardensTauntDD,0,Level)))+IF($D45&lt;&gt;"",CHOOSE($D45,MainHandDmg,OFFSET(ShieldBashDD,0,Level),OFFSET(WardensTauntDD,0,Level)))+IF($E45&lt;&gt;"",CHOOSE($E45,MainHandDmg,OFFSET(ShieldBashDD,0,Level),OFFSET(WardensTauntDD,0,Level)))+IF($F45&lt;&gt;"",CHOOSE($F45,MainHandDmg,OFFSET(ShieldBashDD,0,Level),OFFSET(WardensTauntDD,0,Level)))+IF($G45&lt;&gt;"",CHOOSE($G45,MainHandDmg,OFFSET(ShieldBashDD,0,Level),OFFSET(WardensTauntDD,0,Level)))+MainHandDmg*3*0.85*(1+0.05*NOT(ISBLANK(Veteran))+IF(WayoftheSpear4="",0,0.05))</f>
        <v>206</v>
      </c>
      <c r="I45" s="42">
        <f t="shared" ref="I45:I70" ca="1" si="35">IF($C45&lt;&gt;0,CHOOSE($C45,0,0,OFFSET(WardensTauntDoT,0,Level)))+IF($D45&lt;&gt;0,CHOOSE($D45,0,0,OFFSET(WardensTauntDoT,0,Level)))+IF($E45&lt;&gt;0,CHOOSE($E45,0,0,OFFSET(WardensTauntDoT,0,Level)))+IF($F45&lt;&gt;0,CHOOSE($F45,0,0,OFFSET(WardensTauntDoT,0,Level)))+IF($G45&lt;&gt;0,CHOOSE($G45,0,0,OFFSET(WardensTauntDoT,0,Level)))</f>
        <v>0</v>
      </c>
      <c r="J45" s="48">
        <f t="shared" ca="1" si="27"/>
        <v>206</v>
      </c>
      <c r="K45" s="47">
        <f t="shared" ca="1" si="25"/>
        <v>0</v>
      </c>
      <c r="L45" s="42"/>
      <c r="M45" s="48">
        <f t="shared" ca="1" si="28"/>
        <v>0</v>
      </c>
      <c r="N45" s="47"/>
      <c r="O45" s="42"/>
      <c r="P45" s="48">
        <f t="shared" si="29"/>
        <v>0</v>
      </c>
      <c r="Q45" s="47">
        <f t="shared" ca="1" si="30"/>
        <v>55</v>
      </c>
      <c r="R45" s="42">
        <f ca="1">OFFSET(OnslaughtPwr,0,Level)*(IF(WayoftheSpear2="",1,0.95))</f>
        <v>0</v>
      </c>
      <c r="S45" s="48">
        <f t="shared" ca="1" si="31"/>
        <v>55</v>
      </c>
      <c r="T45" s="67">
        <f t="shared" ca="1" si="32"/>
        <v>3.7454545454545456</v>
      </c>
      <c r="U45" s="68">
        <f t="shared" ca="1" si="33"/>
        <v>0</v>
      </c>
      <c r="V45" s="69">
        <f t="shared" ca="1" si="34"/>
        <v>0</v>
      </c>
      <c r="W45" s="3" t="s">
        <v>29</v>
      </c>
      <c r="X45" s="1"/>
    </row>
    <row r="46" spans="1:24" ht="15" customHeight="1">
      <c r="A46" s="43">
        <v>25</v>
      </c>
      <c r="B46" s="25" t="s">
        <v>31</v>
      </c>
      <c r="C46" s="53">
        <v>3</v>
      </c>
      <c r="D46" s="8">
        <v>1</v>
      </c>
      <c r="E46" s="54">
        <v>3</v>
      </c>
      <c r="F46" s="9"/>
      <c r="G46" s="10"/>
      <c r="H46" s="49">
        <f ca="1">IF($C46&lt;&gt;"",CHOOSE($C46,MainHandDmg,OFFSET(ShieldBashDD,0,Level),OFFSET(WardensTauntDD,0,Level)))+IF($D46&lt;&gt;"",CHOOSE($D46,MainHandDmg,OFFSET(ShieldBashDD,0,Level),OFFSET(WardensTauntDD,0,Level)))+IF($E46&lt;&gt;"",CHOOSE($E46,MainHandDmg,OFFSET(ShieldBashDD,0,Level),OFFSET(WardensTauntDD,0,Level)))+IF($F46&lt;&gt;"",CHOOSE($F46,MainHandDmg,OFFSET(ShieldBashDD,0,Level),OFFSET(WardensTauntDD,0,Level)))+IF($G46&lt;&gt;"",CHOOSE($G46,MainHandDmg,OFFSET(ShieldBashDD,0,Level),OFFSET(WardensTauntDD,0,Level)))+(MainHandDmg+OFFSET(PiercingStrikeDD,0,Level))*(1+0.15*NOT(ISBLANK(AKeenResponse)))</f>
        <v>106</v>
      </c>
      <c r="I46" s="43">
        <f t="shared" ca="1" si="35"/>
        <v>14</v>
      </c>
      <c r="J46" s="44">
        <f t="shared" ca="1" si="27"/>
        <v>120</v>
      </c>
      <c r="K46" s="49">
        <f ca="1">IF($C46&lt;&gt;"",CHOOSE($C46,0,0,OFFSET(WardensTauntT,0,Level)))+IF($D46&lt;&gt;"",CHOOSE($D46,0,0,OFFSET(WardensTauntT,0,Level)))+IF($E46&lt;&gt;"",CHOOSE($E46,0,0,OFFSET(WardensTauntT,0,Level)))+IF($F46&lt;&gt;"",CHOOSE($F46,0,0,OFFSET(WardensTauntT,0,Level)))+IF($G46&lt;&gt;"",CHOOSE($G46,0,0,OFFSET(WardensTauntT,0,Level)))+OFFSET(PiercingStrikeT,0,Level)</f>
        <v>1</v>
      </c>
      <c r="L46" s="43"/>
      <c r="M46" s="44">
        <f t="shared" ca="1" si="28"/>
        <v>1</v>
      </c>
      <c r="N46" s="49"/>
      <c r="O46" s="43"/>
      <c r="P46" s="44">
        <f t="shared" si="29"/>
        <v>0</v>
      </c>
      <c r="Q46" s="49">
        <f t="shared" ca="1" si="30"/>
        <v>53</v>
      </c>
      <c r="R46" s="43">
        <f ca="1">OFFSET(PiercingStrikePwr,0,Level)</f>
        <v>0</v>
      </c>
      <c r="S46" s="44">
        <f t="shared" ca="1" si="31"/>
        <v>53</v>
      </c>
      <c r="T46" s="58">
        <f t="shared" ca="1" si="32"/>
        <v>2.2641509433962264</v>
      </c>
      <c r="U46" s="59">
        <f t="shared" ca="1" si="33"/>
        <v>1.8867924528301887</v>
      </c>
      <c r="V46" s="60">
        <f t="shared" ca="1" si="34"/>
        <v>0</v>
      </c>
      <c r="W46" s="3"/>
      <c r="X46" s="1"/>
    </row>
    <row r="47" spans="1:24" ht="15" customHeight="1">
      <c r="A47" s="52">
        <v>30</v>
      </c>
      <c r="B47" s="2" t="s">
        <v>32</v>
      </c>
      <c r="C47" s="27">
        <v>1</v>
      </c>
      <c r="D47" s="17">
        <v>2</v>
      </c>
      <c r="E47" s="41">
        <v>3</v>
      </c>
      <c r="F47" s="30">
        <v>1</v>
      </c>
      <c r="G47" s="15"/>
      <c r="H47" s="50">
        <f t="shared" ref="H47:H93" ca="1" si="36">IF($C47&lt;&gt;"",CHOOSE($C47,MainHandDmg,OFFSET(ShieldBashDD,0,Level),OFFSET(WardensTauntDD,0,Level)))+IF($D47&lt;&gt;"",CHOOSE($D47,MainHandDmg,OFFSET(ShieldBashDD,0,Level),OFFSET(WardensTauntDD,0,Level)))+IF($E47&lt;&gt;"",CHOOSE($E47,MainHandDmg,OFFSET(ShieldBashDD,0,Level),OFFSET(WardensTauntDD,0,Level)))+IF($F47&lt;&gt;"",CHOOSE($F47,MainHandDmg,OFFSET(ShieldBashDD,0,Level),OFFSET(WardensTauntDD,0,Level)))+IF($G47&lt;&gt;"",CHOOSE($G47,MainHandDmg,OFFSET(ShieldBashDD,0,Level),OFFSET(WardensTauntDD,0,Level)))+MainHandDmg+OFFSET(DeftStrikeDD,0,Level)</f>
        <v>176</v>
      </c>
      <c r="I47" s="52">
        <f t="shared" ca="1" si="35"/>
        <v>7</v>
      </c>
      <c r="J47" s="26">
        <f t="shared" ca="1" si="27"/>
        <v>183</v>
      </c>
      <c r="K47" s="50">
        <f t="shared" ref="K47:K93" ca="1" si="37">IF($C47&lt;&gt;"",CHOOSE($C47,0,0,OFFSET(WardensTauntT,0,Level)))+IF($D47&lt;&gt;"",CHOOSE($D47,0,0,OFFSET(WardensTauntT,0,Level)))+IF($E47&lt;&gt;"",CHOOSE($E47,0,0,OFFSET(WardensTauntT,0,Level)))+IF($F47&lt;&gt;"",CHOOSE($F47,0,0,OFFSET(WardensTauntT,0,Level)))+IF($G47&lt;&gt;"",CHOOSE($G47,0,0,OFFSET(WardensTauntT,0,Level)))</f>
        <v>0.5</v>
      </c>
      <c r="L47" s="52"/>
      <c r="M47" s="26">
        <f t="shared" ca="1" si="28"/>
        <v>0.5</v>
      </c>
      <c r="N47" s="50"/>
      <c r="O47" s="52"/>
      <c r="P47" s="26">
        <f t="shared" si="29"/>
        <v>0</v>
      </c>
      <c r="Q47" s="50">
        <f t="shared" ca="1" si="30"/>
        <v>72</v>
      </c>
      <c r="R47" s="52">
        <f t="shared" ref="R47:R93" ca="1" si="38">OFFSET(DeftStrikePwr,0,Level)</f>
        <v>23</v>
      </c>
      <c r="S47" s="26">
        <f t="shared" ca="1" si="31"/>
        <v>95</v>
      </c>
      <c r="T47" s="61">
        <f t="shared" ca="1" si="32"/>
        <v>1.9263157894736842</v>
      </c>
      <c r="U47" s="62">
        <f t="shared" ca="1" si="33"/>
        <v>0.52631578947368418</v>
      </c>
      <c r="V47" s="63">
        <f t="shared" ca="1" si="34"/>
        <v>0</v>
      </c>
      <c r="W47" s="3"/>
      <c r="X47" s="1"/>
    </row>
    <row r="48" spans="1:24" ht="15" customHeight="1">
      <c r="A48" s="52">
        <v>31</v>
      </c>
      <c r="B48" s="2" t="s">
        <v>33</v>
      </c>
      <c r="C48" s="27">
        <v>1</v>
      </c>
      <c r="D48" s="41">
        <v>3</v>
      </c>
      <c r="E48" s="30">
        <v>1</v>
      </c>
      <c r="F48" s="41">
        <v>3</v>
      </c>
      <c r="G48" s="15"/>
      <c r="H48" s="50">
        <f t="shared" ca="1" si="36"/>
        <v>165</v>
      </c>
      <c r="I48" s="52">
        <f t="shared" ca="1" si="35"/>
        <v>14</v>
      </c>
      <c r="J48" s="26">
        <f t="shared" ca="1" si="27"/>
        <v>179</v>
      </c>
      <c r="K48" s="50">
        <f t="shared" ca="1" si="37"/>
        <v>1</v>
      </c>
      <c r="L48" s="52"/>
      <c r="M48" s="26">
        <f t="shared" ca="1" si="28"/>
        <v>1</v>
      </c>
      <c r="N48" s="50"/>
      <c r="O48" s="52"/>
      <c r="P48" s="26">
        <f t="shared" si="29"/>
        <v>0</v>
      </c>
      <c r="Q48" s="50">
        <f t="shared" ca="1" si="30"/>
        <v>72</v>
      </c>
      <c r="R48" s="52">
        <f t="shared" ca="1" si="38"/>
        <v>23</v>
      </c>
      <c r="S48" s="26">
        <f t="shared" ca="1" si="31"/>
        <v>95</v>
      </c>
      <c r="T48" s="61">
        <f t="shared" ca="1" si="32"/>
        <v>1.8842105263157896</v>
      </c>
      <c r="U48" s="62">
        <f t="shared" ca="1" si="33"/>
        <v>1.0526315789473684</v>
      </c>
      <c r="V48" s="63">
        <f t="shared" ca="1" si="34"/>
        <v>0</v>
      </c>
      <c r="W48" s="3" t="s">
        <v>34</v>
      </c>
      <c r="X48" s="1"/>
    </row>
    <row r="49" spans="1:24" ht="15" customHeight="1">
      <c r="A49" s="52">
        <v>32</v>
      </c>
      <c r="B49" s="2" t="s">
        <v>35</v>
      </c>
      <c r="C49" s="27">
        <v>1</v>
      </c>
      <c r="D49" s="17">
        <v>2</v>
      </c>
      <c r="E49" s="30">
        <v>1</v>
      </c>
      <c r="F49" s="17">
        <v>2</v>
      </c>
      <c r="G49" s="15"/>
      <c r="H49" s="50">
        <f t="shared" ca="1" si="36"/>
        <v>187</v>
      </c>
      <c r="I49" s="52">
        <f t="shared" ca="1" si="35"/>
        <v>0</v>
      </c>
      <c r="J49" s="26">
        <f t="shared" ca="1" si="27"/>
        <v>187</v>
      </c>
      <c r="K49" s="50">
        <f t="shared" ca="1" si="37"/>
        <v>0</v>
      </c>
      <c r="L49" s="52"/>
      <c r="M49" s="26">
        <f t="shared" ca="1" si="28"/>
        <v>0</v>
      </c>
      <c r="N49" s="50"/>
      <c r="O49" s="52"/>
      <c r="P49" s="26">
        <f t="shared" si="29"/>
        <v>0</v>
      </c>
      <c r="Q49" s="50">
        <f t="shared" ca="1" si="30"/>
        <v>72</v>
      </c>
      <c r="R49" s="52">
        <f t="shared" ca="1" si="38"/>
        <v>23</v>
      </c>
      <c r="S49" s="26">
        <f t="shared" ca="1" si="31"/>
        <v>95</v>
      </c>
      <c r="T49" s="61">
        <f t="shared" ca="1" si="32"/>
        <v>1.9684210526315788</v>
      </c>
      <c r="U49" s="62">
        <f t="shared" ca="1" si="33"/>
        <v>0</v>
      </c>
      <c r="V49" s="63">
        <f t="shared" ca="1" si="34"/>
        <v>0</v>
      </c>
      <c r="W49" s="3" t="s">
        <v>36</v>
      </c>
      <c r="X49" s="1"/>
    </row>
    <row r="50" spans="1:24" ht="15" customHeight="1">
      <c r="A50" s="52" t="s">
        <v>37</v>
      </c>
      <c r="B50" s="2" t="s">
        <v>38</v>
      </c>
      <c r="C50" s="16">
        <v>2</v>
      </c>
      <c r="D50" s="30">
        <v>1</v>
      </c>
      <c r="E50" s="41">
        <v>3</v>
      </c>
      <c r="F50" s="17">
        <v>2</v>
      </c>
      <c r="G50" s="15"/>
      <c r="H50" s="50">
        <f t="shared" ca="1" si="36"/>
        <v>160</v>
      </c>
      <c r="I50" s="52">
        <f t="shared" ca="1" si="35"/>
        <v>7</v>
      </c>
      <c r="J50" s="26">
        <f t="shared" ca="1" si="27"/>
        <v>167</v>
      </c>
      <c r="K50" s="50">
        <f t="shared" ca="1" si="37"/>
        <v>0.5</v>
      </c>
      <c r="L50" s="52"/>
      <c r="M50" s="26">
        <f t="shared" ca="1" si="28"/>
        <v>0.5</v>
      </c>
      <c r="N50" s="50"/>
      <c r="O50" s="52"/>
      <c r="P50" s="26">
        <f t="shared" si="29"/>
        <v>0</v>
      </c>
      <c r="Q50" s="50">
        <f t="shared" ca="1" si="30"/>
        <v>70</v>
      </c>
      <c r="R50" s="52">
        <f t="shared" ca="1" si="38"/>
        <v>23</v>
      </c>
      <c r="S50" s="26">
        <f t="shared" ca="1" si="31"/>
        <v>93</v>
      </c>
      <c r="T50" s="61">
        <f t="shared" ca="1" si="32"/>
        <v>1.7956989247311828</v>
      </c>
      <c r="U50" s="62">
        <f t="shared" ca="1" si="33"/>
        <v>0.53763440860215062</v>
      </c>
      <c r="V50" s="63">
        <f t="shared" ca="1" si="34"/>
        <v>0</v>
      </c>
      <c r="W50" s="3" t="s">
        <v>39</v>
      </c>
      <c r="X50" s="1"/>
    </row>
    <row r="51" spans="1:24" ht="15" customHeight="1">
      <c r="A51" s="52">
        <v>37</v>
      </c>
      <c r="B51" s="2" t="s">
        <v>40</v>
      </c>
      <c r="C51" s="16">
        <v>2</v>
      </c>
      <c r="D51" s="30">
        <v>1</v>
      </c>
      <c r="E51" s="17">
        <v>2</v>
      </c>
      <c r="F51" s="30">
        <v>1</v>
      </c>
      <c r="G51" s="15"/>
      <c r="H51" s="50">
        <f t="shared" ca="1" si="36"/>
        <v>187</v>
      </c>
      <c r="I51" s="52">
        <f t="shared" ca="1" si="35"/>
        <v>0</v>
      </c>
      <c r="J51" s="26">
        <f t="shared" ca="1" si="27"/>
        <v>187</v>
      </c>
      <c r="K51" s="50">
        <f t="shared" ca="1" si="37"/>
        <v>0</v>
      </c>
      <c r="L51" s="52"/>
      <c r="M51" s="26">
        <f t="shared" ca="1" si="28"/>
        <v>0</v>
      </c>
      <c r="N51" s="50"/>
      <c r="O51" s="52"/>
      <c r="P51" s="26">
        <f t="shared" si="29"/>
        <v>0</v>
      </c>
      <c r="Q51" s="50">
        <f t="shared" ca="1" si="30"/>
        <v>72</v>
      </c>
      <c r="R51" s="52">
        <f t="shared" ca="1" si="38"/>
        <v>23</v>
      </c>
      <c r="S51" s="26">
        <f t="shared" ca="1" si="31"/>
        <v>95</v>
      </c>
      <c r="T51" s="61">
        <f t="shared" ca="1" si="32"/>
        <v>1.9684210526315788</v>
      </c>
      <c r="U51" s="62">
        <f t="shared" ca="1" si="33"/>
        <v>0</v>
      </c>
      <c r="V51" s="63">
        <f t="shared" ca="1" si="34"/>
        <v>0</v>
      </c>
      <c r="W51" s="3"/>
      <c r="X51" s="1"/>
    </row>
    <row r="52" spans="1:24" ht="15" customHeight="1">
      <c r="A52" s="46">
        <v>38</v>
      </c>
      <c r="B52" s="6" t="s">
        <v>41</v>
      </c>
      <c r="C52" s="55">
        <v>3</v>
      </c>
      <c r="D52" s="23">
        <v>2</v>
      </c>
      <c r="E52" s="56">
        <v>3</v>
      </c>
      <c r="F52" s="23">
        <v>2</v>
      </c>
      <c r="G52" s="21"/>
      <c r="H52" s="51">
        <f t="shared" ca="1" si="36"/>
        <v>133</v>
      </c>
      <c r="I52" s="46">
        <f t="shared" ca="1" si="35"/>
        <v>14</v>
      </c>
      <c r="J52" s="28">
        <f t="shared" ca="1" si="27"/>
        <v>147</v>
      </c>
      <c r="K52" s="51">
        <f t="shared" ca="1" si="37"/>
        <v>1</v>
      </c>
      <c r="L52" s="46"/>
      <c r="M52" s="28">
        <f t="shared" ca="1" si="28"/>
        <v>1</v>
      </c>
      <c r="N52" s="51"/>
      <c r="O52" s="46"/>
      <c r="P52" s="28">
        <f t="shared" si="29"/>
        <v>0</v>
      </c>
      <c r="Q52" s="51">
        <f t="shared" ca="1" si="30"/>
        <v>68</v>
      </c>
      <c r="R52" s="46">
        <f t="shared" ca="1" si="38"/>
        <v>23</v>
      </c>
      <c r="S52" s="28">
        <f t="shared" ca="1" si="31"/>
        <v>91</v>
      </c>
      <c r="T52" s="64">
        <f t="shared" ca="1" si="32"/>
        <v>1.6153846153846154</v>
      </c>
      <c r="U52" s="65">
        <f t="shared" ca="1" si="33"/>
        <v>1.098901098901099</v>
      </c>
      <c r="V52" s="66">
        <f t="shared" ca="1" si="34"/>
        <v>0</v>
      </c>
      <c r="W52" s="3"/>
      <c r="X52" s="1"/>
    </row>
    <row r="53" spans="1:24" ht="15" customHeight="1">
      <c r="A53" s="43">
        <v>41</v>
      </c>
      <c r="B53" s="25" t="s">
        <v>42</v>
      </c>
      <c r="C53" s="11">
        <v>2</v>
      </c>
      <c r="D53" s="54">
        <v>3</v>
      </c>
      <c r="E53" s="12">
        <v>2</v>
      </c>
      <c r="F53" s="54">
        <v>3</v>
      </c>
      <c r="G53" s="10"/>
      <c r="H53" s="49">
        <f t="shared" ca="1" si="36"/>
        <v>133</v>
      </c>
      <c r="I53" s="43">
        <f t="shared" ca="1" si="35"/>
        <v>14</v>
      </c>
      <c r="J53" s="44">
        <f t="shared" ca="1" si="27"/>
        <v>147</v>
      </c>
      <c r="K53" s="49">
        <f t="shared" ca="1" si="37"/>
        <v>1</v>
      </c>
      <c r="L53" s="43"/>
      <c r="M53" s="44">
        <f t="shared" ca="1" si="28"/>
        <v>1</v>
      </c>
      <c r="N53" s="49"/>
      <c r="O53" s="43"/>
      <c r="P53" s="44">
        <f t="shared" si="29"/>
        <v>0</v>
      </c>
      <c r="Q53" s="49">
        <f t="shared" ca="1" si="30"/>
        <v>68</v>
      </c>
      <c r="R53" s="43">
        <f t="shared" ca="1" si="38"/>
        <v>23</v>
      </c>
      <c r="S53" s="44">
        <f t="shared" ca="1" si="31"/>
        <v>91</v>
      </c>
      <c r="T53" s="58">
        <f t="shared" ca="1" si="32"/>
        <v>1.6153846153846154</v>
      </c>
      <c r="U53" s="59">
        <f t="shared" ca="1" si="33"/>
        <v>1.098901098901099</v>
      </c>
      <c r="V53" s="60">
        <f t="shared" ca="1" si="34"/>
        <v>0</v>
      </c>
      <c r="W53" s="3" t="s">
        <v>43</v>
      </c>
      <c r="X53" s="1"/>
    </row>
    <row r="54" spans="1:24" ht="15" customHeight="1">
      <c r="A54" s="52">
        <v>41</v>
      </c>
      <c r="B54" s="26" t="s">
        <v>44</v>
      </c>
      <c r="C54" s="16">
        <v>2</v>
      </c>
      <c r="D54" s="41">
        <v>3</v>
      </c>
      <c r="E54" s="17">
        <v>2</v>
      </c>
      <c r="F54" s="41">
        <v>3</v>
      </c>
      <c r="G54" s="15"/>
      <c r="H54" s="50">
        <f t="shared" ca="1" si="36"/>
        <v>133</v>
      </c>
      <c r="I54" s="52">
        <f t="shared" ca="1" si="35"/>
        <v>14</v>
      </c>
      <c r="J54" s="26">
        <f t="shared" ca="1" si="27"/>
        <v>147</v>
      </c>
      <c r="K54" s="50">
        <f t="shared" ca="1" si="37"/>
        <v>1</v>
      </c>
      <c r="L54" s="52"/>
      <c r="M54" s="26">
        <f t="shared" ca="1" si="28"/>
        <v>1</v>
      </c>
      <c r="N54" s="50"/>
      <c r="O54" s="52"/>
      <c r="P54" s="26">
        <f t="shared" si="29"/>
        <v>0</v>
      </c>
      <c r="Q54" s="50">
        <f t="shared" ca="1" si="30"/>
        <v>68</v>
      </c>
      <c r="R54" s="52">
        <f t="shared" ca="1" si="38"/>
        <v>23</v>
      </c>
      <c r="S54" s="26">
        <f t="shared" ca="1" si="31"/>
        <v>91</v>
      </c>
      <c r="T54" s="61">
        <f t="shared" ca="1" si="32"/>
        <v>1.6153846153846154</v>
      </c>
      <c r="U54" s="62">
        <f t="shared" ca="1" si="33"/>
        <v>1.098901098901099</v>
      </c>
      <c r="V54" s="63">
        <f t="shared" ca="1" si="34"/>
        <v>0</v>
      </c>
      <c r="W54" s="3"/>
      <c r="X54" s="1"/>
    </row>
    <row r="55" spans="1:24" ht="15" customHeight="1">
      <c r="A55" s="52">
        <v>41</v>
      </c>
      <c r="B55" s="26">
        <v>3</v>
      </c>
      <c r="C55" s="16">
        <v>2</v>
      </c>
      <c r="D55" s="41">
        <v>3</v>
      </c>
      <c r="E55" s="17">
        <v>2</v>
      </c>
      <c r="F55" s="41">
        <v>3</v>
      </c>
      <c r="G55" s="15"/>
      <c r="H55" s="50">
        <f t="shared" ca="1" si="36"/>
        <v>133</v>
      </c>
      <c r="I55" s="52">
        <f t="shared" ca="1" si="35"/>
        <v>14</v>
      </c>
      <c r="J55" s="26">
        <f t="shared" ca="1" si="27"/>
        <v>147</v>
      </c>
      <c r="K55" s="50">
        <f t="shared" ca="1" si="37"/>
        <v>1</v>
      </c>
      <c r="L55" s="52"/>
      <c r="M55" s="26">
        <f t="shared" ca="1" si="28"/>
        <v>1</v>
      </c>
      <c r="N55" s="50"/>
      <c r="O55" s="52"/>
      <c r="P55" s="26">
        <f t="shared" si="29"/>
        <v>0</v>
      </c>
      <c r="Q55" s="50">
        <f t="shared" ca="1" si="30"/>
        <v>68</v>
      </c>
      <c r="R55" s="52">
        <f t="shared" ca="1" si="38"/>
        <v>23</v>
      </c>
      <c r="S55" s="26">
        <f t="shared" ca="1" si="31"/>
        <v>91</v>
      </c>
      <c r="T55" s="61">
        <f t="shared" ca="1" si="32"/>
        <v>1.6153846153846154</v>
      </c>
      <c r="U55" s="62">
        <f t="shared" ca="1" si="33"/>
        <v>1.098901098901099</v>
      </c>
      <c r="V55" s="63">
        <f t="shared" ca="1" si="34"/>
        <v>0</v>
      </c>
      <c r="W55" s="3"/>
      <c r="X55" s="1"/>
    </row>
    <row r="56" spans="1:24" ht="15" customHeight="1">
      <c r="A56" s="52">
        <v>41</v>
      </c>
      <c r="B56" s="26">
        <v>4</v>
      </c>
      <c r="C56" s="16">
        <v>2</v>
      </c>
      <c r="D56" s="41">
        <v>3</v>
      </c>
      <c r="E56" s="17">
        <v>2</v>
      </c>
      <c r="F56" s="41">
        <v>3</v>
      </c>
      <c r="G56" s="15"/>
      <c r="H56" s="50">
        <f t="shared" ca="1" si="36"/>
        <v>133</v>
      </c>
      <c r="I56" s="52">
        <f t="shared" ca="1" si="35"/>
        <v>14</v>
      </c>
      <c r="J56" s="26">
        <f t="shared" ca="1" si="27"/>
        <v>147</v>
      </c>
      <c r="K56" s="50">
        <f t="shared" ca="1" si="37"/>
        <v>1</v>
      </c>
      <c r="L56" s="52"/>
      <c r="M56" s="26">
        <f t="shared" ca="1" si="28"/>
        <v>1</v>
      </c>
      <c r="N56" s="50"/>
      <c r="O56" s="52"/>
      <c r="P56" s="26">
        <f t="shared" si="29"/>
        <v>0</v>
      </c>
      <c r="Q56" s="50">
        <f t="shared" ca="1" si="30"/>
        <v>68</v>
      </c>
      <c r="R56" s="52">
        <f t="shared" ca="1" si="38"/>
        <v>23</v>
      </c>
      <c r="S56" s="26">
        <f t="shared" ca="1" si="31"/>
        <v>91</v>
      </c>
      <c r="T56" s="61">
        <f t="shared" ca="1" si="32"/>
        <v>1.6153846153846154</v>
      </c>
      <c r="U56" s="62">
        <f t="shared" ca="1" si="33"/>
        <v>1.098901098901099</v>
      </c>
      <c r="V56" s="63">
        <f t="shared" ca="1" si="34"/>
        <v>0</v>
      </c>
      <c r="W56" s="3"/>
      <c r="X56" s="1"/>
    </row>
    <row r="57" spans="1:24" ht="15" customHeight="1">
      <c r="A57" s="52">
        <v>41</v>
      </c>
      <c r="B57" s="26">
        <v>5</v>
      </c>
      <c r="C57" s="16">
        <v>2</v>
      </c>
      <c r="D57" s="41">
        <v>3</v>
      </c>
      <c r="E57" s="17">
        <v>2</v>
      </c>
      <c r="F57" s="41">
        <v>3</v>
      </c>
      <c r="G57" s="15"/>
      <c r="H57" s="50">
        <f t="shared" ca="1" si="36"/>
        <v>133</v>
      </c>
      <c r="I57" s="52">
        <f t="shared" ca="1" si="35"/>
        <v>14</v>
      </c>
      <c r="J57" s="26">
        <f t="shared" ca="1" si="27"/>
        <v>147</v>
      </c>
      <c r="K57" s="50">
        <f t="shared" ca="1" si="37"/>
        <v>1</v>
      </c>
      <c r="L57" s="52"/>
      <c r="M57" s="26">
        <f t="shared" ca="1" si="28"/>
        <v>1</v>
      </c>
      <c r="N57" s="50"/>
      <c r="O57" s="52"/>
      <c r="P57" s="26">
        <f t="shared" si="29"/>
        <v>0</v>
      </c>
      <c r="Q57" s="50">
        <f t="shared" ca="1" si="30"/>
        <v>68</v>
      </c>
      <c r="R57" s="52">
        <f t="shared" ca="1" si="38"/>
        <v>23</v>
      </c>
      <c r="S57" s="26">
        <f t="shared" ca="1" si="31"/>
        <v>91</v>
      </c>
      <c r="T57" s="61">
        <f t="shared" ca="1" si="32"/>
        <v>1.6153846153846154</v>
      </c>
      <c r="U57" s="62">
        <f t="shared" ca="1" si="33"/>
        <v>1.098901098901099</v>
      </c>
      <c r="V57" s="63">
        <f t="shared" ca="1" si="34"/>
        <v>0</v>
      </c>
      <c r="W57" s="3"/>
      <c r="X57" s="1"/>
    </row>
    <row r="58" spans="1:24" ht="15" customHeight="1">
      <c r="A58" s="46">
        <v>41</v>
      </c>
      <c r="B58" s="28">
        <v>6</v>
      </c>
      <c r="C58" s="22">
        <v>2</v>
      </c>
      <c r="D58" s="56">
        <v>3</v>
      </c>
      <c r="E58" s="23">
        <v>2</v>
      </c>
      <c r="F58" s="56">
        <v>3</v>
      </c>
      <c r="G58" s="21"/>
      <c r="H58" s="51">
        <f t="shared" ca="1" si="36"/>
        <v>133</v>
      </c>
      <c r="I58" s="46">
        <f t="shared" ca="1" si="35"/>
        <v>14</v>
      </c>
      <c r="J58" s="28">
        <f t="shared" ca="1" si="27"/>
        <v>147</v>
      </c>
      <c r="K58" s="51">
        <f t="shared" ca="1" si="37"/>
        <v>1</v>
      </c>
      <c r="L58" s="46"/>
      <c r="M58" s="28">
        <f t="shared" ca="1" si="28"/>
        <v>1</v>
      </c>
      <c r="N58" s="51"/>
      <c r="O58" s="46"/>
      <c r="P58" s="28">
        <f t="shared" si="29"/>
        <v>0</v>
      </c>
      <c r="Q58" s="51">
        <f t="shared" ca="1" si="30"/>
        <v>68</v>
      </c>
      <c r="R58" s="46">
        <f t="shared" ca="1" si="38"/>
        <v>23</v>
      </c>
      <c r="S58" s="28">
        <f t="shared" ca="1" si="31"/>
        <v>91</v>
      </c>
      <c r="T58" s="64">
        <f t="shared" ca="1" si="32"/>
        <v>1.6153846153846154</v>
      </c>
      <c r="U58" s="65">
        <f t="shared" ca="1" si="33"/>
        <v>1.098901098901099</v>
      </c>
      <c r="V58" s="66">
        <f t="shared" ca="1" si="34"/>
        <v>0</v>
      </c>
      <c r="W58" s="3"/>
      <c r="X58" s="1"/>
    </row>
    <row r="59" spans="1:24" ht="15" customHeight="1">
      <c r="A59" s="43">
        <v>42</v>
      </c>
      <c r="B59" s="25" t="s">
        <v>45</v>
      </c>
      <c r="C59" s="53">
        <v>3</v>
      </c>
      <c r="D59" s="8">
        <v>1</v>
      </c>
      <c r="E59" s="12">
        <v>2</v>
      </c>
      <c r="F59" s="54">
        <v>3</v>
      </c>
      <c r="G59" s="10"/>
      <c r="H59" s="49">
        <f t="shared" ca="1" si="36"/>
        <v>149</v>
      </c>
      <c r="I59" s="43">
        <f t="shared" ca="1" si="35"/>
        <v>14</v>
      </c>
      <c r="J59" s="44">
        <f t="shared" ca="1" si="27"/>
        <v>163</v>
      </c>
      <c r="K59" s="49">
        <f t="shared" ca="1" si="37"/>
        <v>1</v>
      </c>
      <c r="L59" s="43"/>
      <c r="M59" s="44">
        <f t="shared" ca="1" si="28"/>
        <v>1</v>
      </c>
      <c r="N59" s="49"/>
      <c r="O59" s="43"/>
      <c r="P59" s="44">
        <f t="shared" si="29"/>
        <v>0</v>
      </c>
      <c r="Q59" s="49">
        <f t="shared" ca="1" si="30"/>
        <v>70</v>
      </c>
      <c r="R59" s="43">
        <f t="shared" ca="1" si="38"/>
        <v>23</v>
      </c>
      <c r="S59" s="44">
        <f t="shared" ca="1" si="31"/>
        <v>93</v>
      </c>
      <c r="T59" s="58">
        <f t="shared" ca="1" si="32"/>
        <v>1.7526881720430108</v>
      </c>
      <c r="U59" s="59">
        <f t="shared" ca="1" si="33"/>
        <v>1.0752688172043012</v>
      </c>
      <c r="V59" s="60">
        <f t="shared" ca="1" si="34"/>
        <v>0</v>
      </c>
      <c r="W59" s="3" t="s">
        <v>46</v>
      </c>
      <c r="X59" s="1"/>
    </row>
    <row r="60" spans="1:24" ht="15" customHeight="1">
      <c r="A60" s="52">
        <v>42</v>
      </c>
      <c r="B60" s="26">
        <v>2</v>
      </c>
      <c r="C60" s="39">
        <v>3</v>
      </c>
      <c r="D60" s="30">
        <v>1</v>
      </c>
      <c r="E60" s="17">
        <v>2</v>
      </c>
      <c r="F60" s="41">
        <v>3</v>
      </c>
      <c r="G60" s="15"/>
      <c r="H60" s="50">
        <f t="shared" ca="1" si="36"/>
        <v>149</v>
      </c>
      <c r="I60" s="52">
        <f t="shared" ca="1" si="35"/>
        <v>14</v>
      </c>
      <c r="J60" s="26">
        <f t="shared" ca="1" si="27"/>
        <v>163</v>
      </c>
      <c r="K60" s="50">
        <f t="shared" ca="1" si="37"/>
        <v>1</v>
      </c>
      <c r="L60" s="52"/>
      <c r="M60" s="26">
        <f t="shared" ca="1" si="28"/>
        <v>1</v>
      </c>
      <c r="N60" s="50"/>
      <c r="O60" s="52"/>
      <c r="P60" s="26">
        <f t="shared" si="29"/>
        <v>0</v>
      </c>
      <c r="Q60" s="50">
        <f t="shared" ca="1" si="30"/>
        <v>70</v>
      </c>
      <c r="R60" s="52">
        <f t="shared" ca="1" si="38"/>
        <v>23</v>
      </c>
      <c r="S60" s="26">
        <f t="shared" ca="1" si="31"/>
        <v>93</v>
      </c>
      <c r="T60" s="61">
        <f t="shared" ca="1" si="32"/>
        <v>1.7526881720430108</v>
      </c>
      <c r="U60" s="62">
        <f t="shared" ca="1" si="33"/>
        <v>1.0752688172043012</v>
      </c>
      <c r="V60" s="63">
        <f t="shared" ca="1" si="34"/>
        <v>0</v>
      </c>
      <c r="W60" s="3"/>
      <c r="X60" s="1"/>
    </row>
    <row r="61" spans="1:24" ht="15" customHeight="1">
      <c r="A61" s="52">
        <v>42</v>
      </c>
      <c r="B61" s="26">
        <v>3</v>
      </c>
      <c r="C61" s="39">
        <v>3</v>
      </c>
      <c r="D61" s="30">
        <v>1</v>
      </c>
      <c r="E61" s="17">
        <v>2</v>
      </c>
      <c r="F61" s="41">
        <v>3</v>
      </c>
      <c r="G61" s="15"/>
      <c r="H61" s="50">
        <f t="shared" ca="1" si="36"/>
        <v>149</v>
      </c>
      <c r="I61" s="52">
        <f t="shared" ca="1" si="35"/>
        <v>14</v>
      </c>
      <c r="J61" s="26">
        <f t="shared" ca="1" si="27"/>
        <v>163</v>
      </c>
      <c r="K61" s="50">
        <f t="shared" ca="1" si="37"/>
        <v>1</v>
      </c>
      <c r="L61" s="52"/>
      <c r="M61" s="26">
        <f t="shared" ca="1" si="28"/>
        <v>1</v>
      </c>
      <c r="N61" s="50"/>
      <c r="O61" s="52"/>
      <c r="P61" s="26">
        <f t="shared" si="29"/>
        <v>0</v>
      </c>
      <c r="Q61" s="50">
        <f t="shared" ca="1" si="30"/>
        <v>70</v>
      </c>
      <c r="R61" s="52">
        <f t="shared" ca="1" si="38"/>
        <v>23</v>
      </c>
      <c r="S61" s="26">
        <f t="shared" ca="1" si="31"/>
        <v>93</v>
      </c>
      <c r="T61" s="61">
        <f t="shared" ca="1" si="32"/>
        <v>1.7526881720430108</v>
      </c>
      <c r="U61" s="62">
        <f t="shared" ca="1" si="33"/>
        <v>1.0752688172043012</v>
      </c>
      <c r="V61" s="63">
        <f t="shared" ca="1" si="34"/>
        <v>0</v>
      </c>
      <c r="W61" s="3"/>
      <c r="X61" s="1"/>
    </row>
    <row r="62" spans="1:24" ht="15" customHeight="1">
      <c r="A62" s="52">
        <v>42</v>
      </c>
      <c r="B62" s="26">
        <v>4</v>
      </c>
      <c r="C62" s="39">
        <v>3</v>
      </c>
      <c r="D62" s="30">
        <v>1</v>
      </c>
      <c r="E62" s="17">
        <v>2</v>
      </c>
      <c r="F62" s="41">
        <v>3</v>
      </c>
      <c r="G62" s="15"/>
      <c r="H62" s="50">
        <f t="shared" ca="1" si="36"/>
        <v>149</v>
      </c>
      <c r="I62" s="52">
        <f t="shared" ca="1" si="35"/>
        <v>14</v>
      </c>
      <c r="J62" s="26">
        <f t="shared" ca="1" si="27"/>
        <v>163</v>
      </c>
      <c r="K62" s="50">
        <f t="shared" ca="1" si="37"/>
        <v>1</v>
      </c>
      <c r="L62" s="52"/>
      <c r="M62" s="26">
        <f t="shared" ca="1" si="28"/>
        <v>1</v>
      </c>
      <c r="N62" s="50"/>
      <c r="O62" s="52"/>
      <c r="P62" s="26">
        <f t="shared" si="29"/>
        <v>0</v>
      </c>
      <c r="Q62" s="50">
        <f t="shared" ca="1" si="30"/>
        <v>70</v>
      </c>
      <c r="R62" s="52">
        <f t="shared" ca="1" si="38"/>
        <v>23</v>
      </c>
      <c r="S62" s="26">
        <f t="shared" ca="1" si="31"/>
        <v>93</v>
      </c>
      <c r="T62" s="61">
        <f t="shared" ca="1" si="32"/>
        <v>1.7526881720430108</v>
      </c>
      <c r="U62" s="62">
        <f t="shared" ca="1" si="33"/>
        <v>1.0752688172043012</v>
      </c>
      <c r="V62" s="63">
        <f t="shared" ca="1" si="34"/>
        <v>0</v>
      </c>
      <c r="W62" s="3"/>
      <c r="X62" s="1"/>
    </row>
    <row r="63" spans="1:24" ht="15" customHeight="1">
      <c r="A63" s="52">
        <v>42</v>
      </c>
      <c r="B63" s="26">
        <v>5</v>
      </c>
      <c r="C63" s="39">
        <v>3</v>
      </c>
      <c r="D63" s="30">
        <v>1</v>
      </c>
      <c r="E63" s="17">
        <v>2</v>
      </c>
      <c r="F63" s="41">
        <v>3</v>
      </c>
      <c r="G63" s="15"/>
      <c r="H63" s="50">
        <f t="shared" ca="1" si="36"/>
        <v>149</v>
      </c>
      <c r="I63" s="52">
        <f t="shared" ca="1" si="35"/>
        <v>14</v>
      </c>
      <c r="J63" s="26">
        <f t="shared" ca="1" si="27"/>
        <v>163</v>
      </c>
      <c r="K63" s="50">
        <f t="shared" ca="1" si="37"/>
        <v>1</v>
      </c>
      <c r="L63" s="52"/>
      <c r="M63" s="26">
        <f t="shared" ca="1" si="28"/>
        <v>1</v>
      </c>
      <c r="N63" s="50"/>
      <c r="O63" s="52"/>
      <c r="P63" s="26">
        <f t="shared" si="29"/>
        <v>0</v>
      </c>
      <c r="Q63" s="50">
        <f t="shared" ca="1" si="30"/>
        <v>70</v>
      </c>
      <c r="R63" s="52">
        <f t="shared" ca="1" si="38"/>
        <v>23</v>
      </c>
      <c r="S63" s="26">
        <f t="shared" ca="1" si="31"/>
        <v>93</v>
      </c>
      <c r="T63" s="61">
        <f t="shared" ca="1" si="32"/>
        <v>1.7526881720430108</v>
      </c>
      <c r="U63" s="62">
        <f t="shared" ca="1" si="33"/>
        <v>1.0752688172043012</v>
      </c>
      <c r="V63" s="63">
        <f t="shared" ca="1" si="34"/>
        <v>0</v>
      </c>
      <c r="W63" s="3"/>
      <c r="X63" s="1"/>
    </row>
    <row r="64" spans="1:24" ht="15" customHeight="1">
      <c r="A64" s="52">
        <v>42</v>
      </c>
      <c r="B64" s="26">
        <v>6</v>
      </c>
      <c r="C64" s="39">
        <v>3</v>
      </c>
      <c r="D64" s="30">
        <v>1</v>
      </c>
      <c r="E64" s="17">
        <v>2</v>
      </c>
      <c r="F64" s="41">
        <v>3</v>
      </c>
      <c r="G64" s="15"/>
      <c r="H64" s="50">
        <f t="shared" ca="1" si="36"/>
        <v>149</v>
      </c>
      <c r="I64" s="52">
        <f t="shared" ca="1" si="35"/>
        <v>14</v>
      </c>
      <c r="J64" s="26">
        <f t="shared" ca="1" si="27"/>
        <v>163</v>
      </c>
      <c r="K64" s="50">
        <f t="shared" ca="1" si="37"/>
        <v>1</v>
      </c>
      <c r="L64" s="52"/>
      <c r="M64" s="26">
        <f t="shared" ca="1" si="28"/>
        <v>1</v>
      </c>
      <c r="N64" s="50"/>
      <c r="O64" s="52"/>
      <c r="P64" s="26">
        <f t="shared" si="29"/>
        <v>0</v>
      </c>
      <c r="Q64" s="50">
        <f t="shared" ca="1" si="30"/>
        <v>70</v>
      </c>
      <c r="R64" s="52">
        <f t="shared" ca="1" si="38"/>
        <v>23</v>
      </c>
      <c r="S64" s="26">
        <f t="shared" ca="1" si="31"/>
        <v>93</v>
      </c>
      <c r="T64" s="61">
        <f t="shared" ca="1" si="32"/>
        <v>1.7526881720430108</v>
      </c>
      <c r="U64" s="62">
        <f t="shared" ca="1" si="33"/>
        <v>1.0752688172043012</v>
      </c>
      <c r="V64" s="63">
        <f t="shared" ca="1" si="34"/>
        <v>0</v>
      </c>
      <c r="W64" s="3"/>
      <c r="X64" s="1"/>
    </row>
    <row r="65" spans="1:24" ht="15" customHeight="1">
      <c r="A65" s="52">
        <v>42</v>
      </c>
      <c r="B65" s="26">
        <v>7</v>
      </c>
      <c r="C65" s="39">
        <v>3</v>
      </c>
      <c r="D65" s="30">
        <v>1</v>
      </c>
      <c r="E65" s="17">
        <v>2</v>
      </c>
      <c r="F65" s="41">
        <v>3</v>
      </c>
      <c r="G65" s="15"/>
      <c r="H65" s="50">
        <f t="shared" ca="1" si="36"/>
        <v>149</v>
      </c>
      <c r="I65" s="52">
        <f t="shared" ca="1" si="35"/>
        <v>14</v>
      </c>
      <c r="J65" s="26">
        <f t="shared" ca="1" si="27"/>
        <v>163</v>
      </c>
      <c r="K65" s="50">
        <f t="shared" ca="1" si="37"/>
        <v>1</v>
      </c>
      <c r="L65" s="52"/>
      <c r="M65" s="26">
        <f t="shared" ca="1" si="28"/>
        <v>1</v>
      </c>
      <c r="N65" s="50"/>
      <c r="O65" s="52"/>
      <c r="P65" s="26">
        <f t="shared" si="29"/>
        <v>0</v>
      </c>
      <c r="Q65" s="50">
        <f t="shared" ca="1" si="30"/>
        <v>70</v>
      </c>
      <c r="R65" s="52">
        <f t="shared" ca="1" si="38"/>
        <v>23</v>
      </c>
      <c r="S65" s="26">
        <f t="shared" ca="1" si="31"/>
        <v>93</v>
      </c>
      <c r="T65" s="61">
        <f t="shared" ca="1" si="32"/>
        <v>1.7526881720430108</v>
      </c>
      <c r="U65" s="62">
        <f t="shared" ca="1" si="33"/>
        <v>1.0752688172043012</v>
      </c>
      <c r="V65" s="63">
        <f t="shared" ca="1" si="34"/>
        <v>0</v>
      </c>
      <c r="W65" s="3"/>
      <c r="X65" s="1"/>
    </row>
    <row r="66" spans="1:24" ht="15" customHeight="1">
      <c r="A66" s="52">
        <v>42</v>
      </c>
      <c r="B66" s="26">
        <v>8</v>
      </c>
      <c r="C66" s="39">
        <v>3</v>
      </c>
      <c r="D66" s="30">
        <v>1</v>
      </c>
      <c r="E66" s="17">
        <v>2</v>
      </c>
      <c r="F66" s="41">
        <v>3</v>
      </c>
      <c r="G66" s="15"/>
      <c r="H66" s="50">
        <f t="shared" ca="1" si="36"/>
        <v>149</v>
      </c>
      <c r="I66" s="52">
        <f t="shared" ca="1" si="35"/>
        <v>14</v>
      </c>
      <c r="J66" s="26">
        <f t="shared" ca="1" si="27"/>
        <v>163</v>
      </c>
      <c r="K66" s="50">
        <f t="shared" ca="1" si="37"/>
        <v>1</v>
      </c>
      <c r="L66" s="52"/>
      <c r="M66" s="26">
        <f t="shared" ca="1" si="28"/>
        <v>1</v>
      </c>
      <c r="N66" s="50"/>
      <c r="O66" s="52"/>
      <c r="P66" s="26">
        <f t="shared" si="29"/>
        <v>0</v>
      </c>
      <c r="Q66" s="50">
        <f t="shared" ca="1" si="30"/>
        <v>70</v>
      </c>
      <c r="R66" s="52">
        <f t="shared" ca="1" si="38"/>
        <v>23</v>
      </c>
      <c r="S66" s="26">
        <f t="shared" ca="1" si="31"/>
        <v>93</v>
      </c>
      <c r="T66" s="61">
        <f t="shared" ca="1" si="32"/>
        <v>1.7526881720430108</v>
      </c>
      <c r="U66" s="62">
        <f t="shared" ca="1" si="33"/>
        <v>1.0752688172043012</v>
      </c>
      <c r="V66" s="63">
        <f t="shared" ca="1" si="34"/>
        <v>0</v>
      </c>
      <c r="W66" s="3"/>
      <c r="X66" s="1"/>
    </row>
    <row r="67" spans="1:24" ht="15" customHeight="1">
      <c r="A67" s="52">
        <v>42</v>
      </c>
      <c r="B67" s="26">
        <v>9</v>
      </c>
      <c r="C67" s="39">
        <v>3</v>
      </c>
      <c r="D67" s="30">
        <v>1</v>
      </c>
      <c r="E67" s="17">
        <v>2</v>
      </c>
      <c r="F67" s="41">
        <v>3</v>
      </c>
      <c r="G67" s="15"/>
      <c r="H67" s="50">
        <f t="shared" ca="1" si="36"/>
        <v>149</v>
      </c>
      <c r="I67" s="52">
        <f t="shared" ca="1" si="35"/>
        <v>14</v>
      </c>
      <c r="J67" s="26">
        <f t="shared" ref="J67:J93" ca="1" si="39">SUM(H67:I67)</f>
        <v>163</v>
      </c>
      <c r="K67" s="50">
        <f t="shared" ca="1" si="37"/>
        <v>1</v>
      </c>
      <c r="L67" s="52"/>
      <c r="M67" s="26">
        <f t="shared" ref="M67:M93" ca="1" si="40">SUM(K67:L67)</f>
        <v>1</v>
      </c>
      <c r="N67" s="50"/>
      <c r="O67" s="52"/>
      <c r="P67" s="26">
        <f t="shared" ref="P67:P93" si="41">SUM(N67:O67)</f>
        <v>0</v>
      </c>
      <c r="Q67" s="50">
        <f t="shared" ref="Q67:Q93" ca="1" si="42">IF($C67&lt;&gt;"",CHOOSE($C67,((OFFSET(QuickThrustPwr,0,Level)*(1-0.4*NOT(ISBLANK(EfficientThrust))))*(1-0.4*NOT(ISBLANK(EfficientThrust)))),OFFSET(ShieldBashPwr,0,Level),OFFSET(WardensTauntPwr,0,Level)))+IF($D67&lt;&gt;"",CHOOSE($D67,(OFFSET(QuickThrustPwr,0,Level)*(1-0.4*NOT(ISBLANK(EfficientThrust)))),OFFSET(ShieldBashPwr,0,Level),OFFSET(WardensTauntPwr,0,Level)))+IF($E67&lt;&gt;"",CHOOSE($E67,(OFFSET(QuickThrustPwr,0,Level)*(1-0.4*NOT(ISBLANK(EfficientThrust)))),OFFSET(ShieldBashPwr,0,Level),OFFSET(WardensTauntPwr,0,Level)))+IF($F67&lt;&gt;"",CHOOSE($F67,(OFFSET(QuickThrustPwr,0,Level)*(1-0.4*NOT(ISBLANK(EfficientThrust)))),OFFSET(ShieldBashPwr,0,Level),OFFSET(WardensTauntPwr,0,Level)))+IF($G67&lt;&gt;"",CHOOSE($G67,(OFFSET(QuickThrustPwr,0,Level)*(1-0.4*NOT(ISBLANK(EfficientThrust)))),OFFSET(ShieldBashPwr,0,Level),OFFSET(WardensTauntPwr,0,Level)))</f>
        <v>70</v>
      </c>
      <c r="R67" s="52">
        <f t="shared" ca="1" si="38"/>
        <v>23</v>
      </c>
      <c r="S67" s="26">
        <f t="shared" ref="S67:S93" ca="1" si="43">SUM(Q67:R67)</f>
        <v>93</v>
      </c>
      <c r="T67" s="61">
        <f t="shared" ref="T67:T93" ca="1" si="44">J67/S67</f>
        <v>1.7526881720430108</v>
      </c>
      <c r="U67" s="62">
        <f t="shared" ref="U67:U93" ca="1" si="45">M67/S67*100</f>
        <v>1.0752688172043012</v>
      </c>
      <c r="V67" s="63">
        <f t="shared" ref="V67:V93" ca="1" si="46">P67/S67</f>
        <v>0</v>
      </c>
      <c r="W67" s="3"/>
      <c r="X67" s="1"/>
    </row>
    <row r="68" spans="1:24" ht="15" customHeight="1">
      <c r="A68" s="46">
        <v>42</v>
      </c>
      <c r="B68" s="28">
        <v>10</v>
      </c>
      <c r="C68" s="55">
        <v>3</v>
      </c>
      <c r="D68" s="29">
        <v>1</v>
      </c>
      <c r="E68" s="23">
        <v>2</v>
      </c>
      <c r="F68" s="56">
        <v>3</v>
      </c>
      <c r="G68" s="21"/>
      <c r="H68" s="51">
        <f t="shared" ca="1" si="36"/>
        <v>149</v>
      </c>
      <c r="I68" s="46">
        <f t="shared" ca="1" si="35"/>
        <v>14</v>
      </c>
      <c r="J68" s="28">
        <f t="shared" ca="1" si="39"/>
        <v>163</v>
      </c>
      <c r="K68" s="51">
        <f t="shared" ca="1" si="37"/>
        <v>1</v>
      </c>
      <c r="L68" s="46"/>
      <c r="M68" s="28">
        <f t="shared" ca="1" si="40"/>
        <v>1</v>
      </c>
      <c r="N68" s="51"/>
      <c r="O68" s="46"/>
      <c r="P68" s="28">
        <f t="shared" si="41"/>
        <v>0</v>
      </c>
      <c r="Q68" s="51">
        <f t="shared" ca="1" si="42"/>
        <v>70</v>
      </c>
      <c r="R68" s="46">
        <f t="shared" ca="1" si="38"/>
        <v>23</v>
      </c>
      <c r="S68" s="28">
        <f t="shared" ca="1" si="43"/>
        <v>93</v>
      </c>
      <c r="T68" s="64">
        <f t="shared" ca="1" si="44"/>
        <v>1.7526881720430108</v>
      </c>
      <c r="U68" s="65">
        <f t="shared" ca="1" si="45"/>
        <v>1.0752688172043012</v>
      </c>
      <c r="V68" s="66">
        <f t="shared" ca="1" si="46"/>
        <v>0</v>
      </c>
      <c r="W68" s="3"/>
      <c r="X68" s="1"/>
    </row>
    <row r="69" spans="1:24" ht="15" customHeight="1">
      <c r="A69" s="43">
        <v>43</v>
      </c>
      <c r="B69" s="25" t="s">
        <v>47</v>
      </c>
      <c r="C69" s="53">
        <v>3</v>
      </c>
      <c r="D69" s="8">
        <v>1</v>
      </c>
      <c r="E69" s="54">
        <v>3</v>
      </c>
      <c r="F69" s="8">
        <v>1</v>
      </c>
      <c r="G69" s="10"/>
      <c r="H69" s="49">
        <f t="shared" ca="1" si="36"/>
        <v>165</v>
      </c>
      <c r="I69" s="43">
        <f t="shared" ca="1" si="35"/>
        <v>14</v>
      </c>
      <c r="J69" s="44">
        <f t="shared" ca="1" si="39"/>
        <v>179</v>
      </c>
      <c r="K69" s="49">
        <f t="shared" ca="1" si="37"/>
        <v>1</v>
      </c>
      <c r="L69" s="43"/>
      <c r="M69" s="44">
        <f t="shared" ca="1" si="40"/>
        <v>1</v>
      </c>
      <c r="N69" s="49"/>
      <c r="O69" s="43"/>
      <c r="P69" s="44">
        <f t="shared" si="41"/>
        <v>0</v>
      </c>
      <c r="Q69" s="49">
        <f t="shared" ca="1" si="42"/>
        <v>72</v>
      </c>
      <c r="R69" s="43">
        <f t="shared" ca="1" si="38"/>
        <v>23</v>
      </c>
      <c r="S69" s="44">
        <f t="shared" ca="1" si="43"/>
        <v>95</v>
      </c>
      <c r="T69" s="58">
        <f t="shared" ca="1" si="44"/>
        <v>1.8842105263157896</v>
      </c>
      <c r="U69" s="59">
        <f t="shared" ca="1" si="45"/>
        <v>1.0526315789473684</v>
      </c>
      <c r="V69" s="60">
        <f t="shared" ca="1" si="46"/>
        <v>0</v>
      </c>
      <c r="W69" s="3"/>
      <c r="X69" s="1"/>
    </row>
    <row r="70" spans="1:24" ht="15" customHeight="1">
      <c r="A70" s="46">
        <v>46</v>
      </c>
      <c r="B70" s="6" t="s">
        <v>48</v>
      </c>
      <c r="C70" s="22">
        <v>2</v>
      </c>
      <c r="D70" s="29">
        <v>1</v>
      </c>
      <c r="E70" s="23">
        <v>2</v>
      </c>
      <c r="F70" s="29">
        <v>1</v>
      </c>
      <c r="G70" s="24">
        <v>2</v>
      </c>
      <c r="H70" s="51">
        <f t="shared" ca="1" si="36"/>
        <v>211</v>
      </c>
      <c r="I70" s="46">
        <f t="shared" ca="1" si="35"/>
        <v>0</v>
      </c>
      <c r="J70" s="28">
        <f t="shared" ca="1" si="39"/>
        <v>211</v>
      </c>
      <c r="K70" s="51">
        <f t="shared" ca="1" si="37"/>
        <v>0</v>
      </c>
      <c r="L70" s="46"/>
      <c r="M70" s="28">
        <f t="shared" ca="1" si="40"/>
        <v>0</v>
      </c>
      <c r="N70" s="51"/>
      <c r="O70" s="46"/>
      <c r="P70" s="28">
        <f t="shared" si="41"/>
        <v>0</v>
      </c>
      <c r="Q70" s="51">
        <f t="shared" ca="1" si="42"/>
        <v>89</v>
      </c>
      <c r="R70" s="46">
        <f t="shared" ca="1" si="38"/>
        <v>23</v>
      </c>
      <c r="S70" s="28">
        <f t="shared" ca="1" si="43"/>
        <v>112</v>
      </c>
      <c r="T70" s="64">
        <f t="shared" ca="1" si="44"/>
        <v>1.8839285714285714</v>
      </c>
      <c r="U70" s="65">
        <f t="shared" ca="1" si="45"/>
        <v>0</v>
      </c>
      <c r="V70" s="66">
        <f t="shared" ca="1" si="46"/>
        <v>0</v>
      </c>
      <c r="W70" s="3"/>
      <c r="X70" s="1"/>
    </row>
    <row r="71" spans="1:24" ht="15" customHeight="1">
      <c r="A71" s="43">
        <v>48</v>
      </c>
      <c r="B71" s="25" t="s">
        <v>49</v>
      </c>
      <c r="C71" s="53">
        <v>3</v>
      </c>
      <c r="D71" s="8">
        <v>1</v>
      </c>
      <c r="E71" s="12">
        <v>2</v>
      </c>
      <c r="F71" s="54">
        <v>3</v>
      </c>
      <c r="G71" s="13">
        <v>2</v>
      </c>
      <c r="H71" s="49">
        <f t="shared" ca="1" si="36"/>
        <v>173</v>
      </c>
      <c r="I71" s="43">
        <f t="shared" ref="I71:I93" ca="1" si="47">IF($C71&lt;&gt;0,CHOOSE($C71,0,0,OFFSET(WardensTauntDoT,0,Level)))+IF($D71&lt;&gt;0,CHOOSE($D71,0,0,OFFSET(WardensTauntDoT,0,Level)))+IF($E71&lt;&gt;0,CHOOSE($E71,0,0,OFFSET(WardensTauntDoT,0,Level)))+IF($F71&lt;&gt;0,CHOOSE($F71,0,0,OFFSET(WardensTauntDoT,0,Level)))+IF($G71&lt;&gt;0,CHOOSE($G71,0,0,OFFSET(WardensTauntDoT,0,Level)))</f>
        <v>14</v>
      </c>
      <c r="J71" s="44">
        <f t="shared" ca="1" si="39"/>
        <v>187</v>
      </c>
      <c r="K71" s="49">
        <f t="shared" ca="1" si="37"/>
        <v>1</v>
      </c>
      <c r="L71" s="43"/>
      <c r="M71" s="44">
        <f t="shared" ca="1" si="40"/>
        <v>1</v>
      </c>
      <c r="N71" s="49"/>
      <c r="O71" s="43"/>
      <c r="P71" s="44">
        <f t="shared" si="41"/>
        <v>0</v>
      </c>
      <c r="Q71" s="49">
        <f t="shared" ca="1" si="42"/>
        <v>87</v>
      </c>
      <c r="R71" s="43">
        <f t="shared" ca="1" si="38"/>
        <v>23</v>
      </c>
      <c r="S71" s="44">
        <f t="shared" ca="1" si="43"/>
        <v>110</v>
      </c>
      <c r="T71" s="58">
        <f t="shared" ca="1" si="44"/>
        <v>1.7</v>
      </c>
      <c r="U71" s="59">
        <f t="shared" ca="1" si="45"/>
        <v>0.90909090909090906</v>
      </c>
      <c r="V71" s="60">
        <f t="shared" ca="1" si="46"/>
        <v>0</v>
      </c>
      <c r="W71" s="3" t="s">
        <v>50</v>
      </c>
      <c r="X71" s="1"/>
    </row>
    <row r="72" spans="1:24" ht="15" customHeight="1">
      <c r="A72" s="52">
        <v>48</v>
      </c>
      <c r="B72" s="26">
        <v>2</v>
      </c>
      <c r="C72" s="39">
        <v>3</v>
      </c>
      <c r="D72" s="30">
        <v>1</v>
      </c>
      <c r="E72" s="17">
        <v>2</v>
      </c>
      <c r="F72" s="41">
        <v>3</v>
      </c>
      <c r="G72" s="18">
        <v>2</v>
      </c>
      <c r="H72" s="50">
        <f t="shared" ca="1" si="36"/>
        <v>173</v>
      </c>
      <c r="I72" s="52">
        <f t="shared" ca="1" si="47"/>
        <v>14</v>
      </c>
      <c r="J72" s="26">
        <f t="shared" ca="1" si="39"/>
        <v>187</v>
      </c>
      <c r="K72" s="50">
        <f t="shared" ca="1" si="37"/>
        <v>1</v>
      </c>
      <c r="L72" s="52"/>
      <c r="M72" s="26">
        <f t="shared" ca="1" si="40"/>
        <v>1</v>
      </c>
      <c r="N72" s="50"/>
      <c r="O72" s="52"/>
      <c r="P72" s="26">
        <f t="shared" si="41"/>
        <v>0</v>
      </c>
      <c r="Q72" s="50">
        <f t="shared" ca="1" si="42"/>
        <v>87</v>
      </c>
      <c r="R72" s="52">
        <f t="shared" ca="1" si="38"/>
        <v>23</v>
      </c>
      <c r="S72" s="26">
        <f t="shared" ca="1" si="43"/>
        <v>110</v>
      </c>
      <c r="T72" s="61">
        <f t="shared" ca="1" si="44"/>
        <v>1.7</v>
      </c>
      <c r="U72" s="62">
        <f t="shared" ca="1" si="45"/>
        <v>0.90909090909090906</v>
      </c>
      <c r="V72" s="63">
        <f t="shared" ca="1" si="46"/>
        <v>0</v>
      </c>
      <c r="W72" s="3"/>
      <c r="X72" s="1"/>
    </row>
    <row r="73" spans="1:24" ht="15" customHeight="1">
      <c r="A73" s="52">
        <v>48</v>
      </c>
      <c r="B73" s="26">
        <v>3</v>
      </c>
      <c r="C73" s="39">
        <v>3</v>
      </c>
      <c r="D73" s="30">
        <v>1</v>
      </c>
      <c r="E73" s="17">
        <v>2</v>
      </c>
      <c r="F73" s="41">
        <v>3</v>
      </c>
      <c r="G73" s="18">
        <v>2</v>
      </c>
      <c r="H73" s="50">
        <f t="shared" ca="1" si="36"/>
        <v>173</v>
      </c>
      <c r="I73" s="52">
        <f t="shared" ca="1" si="47"/>
        <v>14</v>
      </c>
      <c r="J73" s="26">
        <f t="shared" ca="1" si="39"/>
        <v>187</v>
      </c>
      <c r="K73" s="50">
        <f t="shared" ca="1" si="37"/>
        <v>1</v>
      </c>
      <c r="L73" s="52"/>
      <c r="M73" s="26">
        <f t="shared" ca="1" si="40"/>
        <v>1</v>
      </c>
      <c r="N73" s="50"/>
      <c r="O73" s="52"/>
      <c r="P73" s="26">
        <f t="shared" si="41"/>
        <v>0</v>
      </c>
      <c r="Q73" s="50">
        <f t="shared" ca="1" si="42"/>
        <v>87</v>
      </c>
      <c r="R73" s="52">
        <f t="shared" ca="1" si="38"/>
        <v>23</v>
      </c>
      <c r="S73" s="26">
        <f t="shared" ca="1" si="43"/>
        <v>110</v>
      </c>
      <c r="T73" s="61">
        <f t="shared" ca="1" si="44"/>
        <v>1.7</v>
      </c>
      <c r="U73" s="62">
        <f t="shared" ca="1" si="45"/>
        <v>0.90909090909090906</v>
      </c>
      <c r="V73" s="63">
        <f t="shared" ca="1" si="46"/>
        <v>0</v>
      </c>
      <c r="W73" s="3"/>
      <c r="X73" s="1"/>
    </row>
    <row r="74" spans="1:24" ht="15" customHeight="1">
      <c r="A74" s="52">
        <v>48</v>
      </c>
      <c r="B74" s="26">
        <v>4</v>
      </c>
      <c r="C74" s="39">
        <v>3</v>
      </c>
      <c r="D74" s="30">
        <v>1</v>
      </c>
      <c r="E74" s="17">
        <v>2</v>
      </c>
      <c r="F74" s="41">
        <v>3</v>
      </c>
      <c r="G74" s="18">
        <v>2</v>
      </c>
      <c r="H74" s="50">
        <f t="shared" ca="1" si="36"/>
        <v>173</v>
      </c>
      <c r="I74" s="52">
        <f t="shared" ca="1" si="47"/>
        <v>14</v>
      </c>
      <c r="J74" s="26">
        <f t="shared" ca="1" si="39"/>
        <v>187</v>
      </c>
      <c r="K74" s="50">
        <f t="shared" ca="1" si="37"/>
        <v>1</v>
      </c>
      <c r="L74" s="52"/>
      <c r="M74" s="26">
        <f t="shared" ca="1" si="40"/>
        <v>1</v>
      </c>
      <c r="N74" s="50"/>
      <c r="O74" s="52"/>
      <c r="P74" s="26">
        <f t="shared" si="41"/>
        <v>0</v>
      </c>
      <c r="Q74" s="50">
        <f t="shared" ca="1" si="42"/>
        <v>87</v>
      </c>
      <c r="R74" s="52">
        <f t="shared" ca="1" si="38"/>
        <v>23</v>
      </c>
      <c r="S74" s="26">
        <f t="shared" ca="1" si="43"/>
        <v>110</v>
      </c>
      <c r="T74" s="61">
        <f t="shared" ca="1" si="44"/>
        <v>1.7</v>
      </c>
      <c r="U74" s="62">
        <f t="shared" ca="1" si="45"/>
        <v>0.90909090909090906</v>
      </c>
      <c r="V74" s="63">
        <f t="shared" ca="1" si="46"/>
        <v>0</v>
      </c>
      <c r="W74" s="3"/>
      <c r="X74" s="1"/>
    </row>
    <row r="75" spans="1:24" ht="15" customHeight="1">
      <c r="A75" s="52">
        <v>48</v>
      </c>
      <c r="B75" s="26">
        <v>5</v>
      </c>
      <c r="C75" s="39">
        <v>3</v>
      </c>
      <c r="D75" s="30">
        <v>1</v>
      </c>
      <c r="E75" s="17">
        <v>2</v>
      </c>
      <c r="F75" s="41">
        <v>3</v>
      </c>
      <c r="G75" s="18">
        <v>2</v>
      </c>
      <c r="H75" s="50">
        <f t="shared" ca="1" si="36"/>
        <v>173</v>
      </c>
      <c r="I75" s="52">
        <f t="shared" ca="1" si="47"/>
        <v>14</v>
      </c>
      <c r="J75" s="26">
        <f t="shared" ca="1" si="39"/>
        <v>187</v>
      </c>
      <c r="K75" s="50">
        <f t="shared" ca="1" si="37"/>
        <v>1</v>
      </c>
      <c r="L75" s="52"/>
      <c r="M75" s="26">
        <f t="shared" ca="1" si="40"/>
        <v>1</v>
      </c>
      <c r="N75" s="50"/>
      <c r="O75" s="52"/>
      <c r="P75" s="26">
        <f t="shared" si="41"/>
        <v>0</v>
      </c>
      <c r="Q75" s="50">
        <f t="shared" ca="1" si="42"/>
        <v>87</v>
      </c>
      <c r="R75" s="52">
        <f t="shared" ca="1" si="38"/>
        <v>23</v>
      </c>
      <c r="S75" s="26">
        <f t="shared" ca="1" si="43"/>
        <v>110</v>
      </c>
      <c r="T75" s="61">
        <f t="shared" ca="1" si="44"/>
        <v>1.7</v>
      </c>
      <c r="U75" s="62">
        <f t="shared" ca="1" si="45"/>
        <v>0.90909090909090906</v>
      </c>
      <c r="V75" s="63">
        <f t="shared" ca="1" si="46"/>
        <v>0</v>
      </c>
      <c r="W75" s="3"/>
      <c r="X75" s="1"/>
    </row>
    <row r="76" spans="1:24" ht="15" customHeight="1">
      <c r="A76" s="52">
        <v>48</v>
      </c>
      <c r="B76" s="26">
        <v>6</v>
      </c>
      <c r="C76" s="39">
        <v>3</v>
      </c>
      <c r="D76" s="30">
        <v>1</v>
      </c>
      <c r="E76" s="17">
        <v>2</v>
      </c>
      <c r="F76" s="41">
        <v>3</v>
      </c>
      <c r="G76" s="18">
        <v>2</v>
      </c>
      <c r="H76" s="50">
        <f t="shared" ca="1" si="36"/>
        <v>173</v>
      </c>
      <c r="I76" s="52">
        <f t="shared" ca="1" si="47"/>
        <v>14</v>
      </c>
      <c r="J76" s="26">
        <f t="shared" ca="1" si="39"/>
        <v>187</v>
      </c>
      <c r="K76" s="50">
        <f t="shared" ca="1" si="37"/>
        <v>1</v>
      </c>
      <c r="L76" s="52"/>
      <c r="M76" s="26">
        <f t="shared" ca="1" si="40"/>
        <v>1</v>
      </c>
      <c r="N76" s="50"/>
      <c r="O76" s="52"/>
      <c r="P76" s="26">
        <f t="shared" si="41"/>
        <v>0</v>
      </c>
      <c r="Q76" s="50">
        <f t="shared" ca="1" si="42"/>
        <v>87</v>
      </c>
      <c r="R76" s="52">
        <f t="shared" ca="1" si="38"/>
        <v>23</v>
      </c>
      <c r="S76" s="26">
        <f t="shared" ca="1" si="43"/>
        <v>110</v>
      </c>
      <c r="T76" s="61">
        <f t="shared" ca="1" si="44"/>
        <v>1.7</v>
      </c>
      <c r="U76" s="62">
        <f t="shared" ca="1" si="45"/>
        <v>0.90909090909090906</v>
      </c>
      <c r="V76" s="63">
        <f t="shared" ca="1" si="46"/>
        <v>0</v>
      </c>
      <c r="W76" s="3"/>
      <c r="X76" s="1"/>
    </row>
    <row r="77" spans="1:24" ht="15" customHeight="1">
      <c r="A77" s="52">
        <v>48</v>
      </c>
      <c r="B77" s="26">
        <v>7</v>
      </c>
      <c r="C77" s="39">
        <v>3</v>
      </c>
      <c r="D77" s="30">
        <v>1</v>
      </c>
      <c r="E77" s="17">
        <v>2</v>
      </c>
      <c r="F77" s="41">
        <v>3</v>
      </c>
      <c r="G77" s="18">
        <v>2</v>
      </c>
      <c r="H77" s="50">
        <f t="shared" ca="1" si="36"/>
        <v>173</v>
      </c>
      <c r="I77" s="52">
        <f t="shared" ca="1" si="47"/>
        <v>14</v>
      </c>
      <c r="J77" s="26">
        <f t="shared" ca="1" si="39"/>
        <v>187</v>
      </c>
      <c r="K77" s="50">
        <f t="shared" ca="1" si="37"/>
        <v>1</v>
      </c>
      <c r="L77" s="52"/>
      <c r="M77" s="26">
        <f t="shared" ca="1" si="40"/>
        <v>1</v>
      </c>
      <c r="N77" s="50"/>
      <c r="O77" s="52"/>
      <c r="P77" s="26">
        <f t="shared" si="41"/>
        <v>0</v>
      </c>
      <c r="Q77" s="50">
        <f t="shared" ca="1" si="42"/>
        <v>87</v>
      </c>
      <c r="R77" s="52">
        <f t="shared" ca="1" si="38"/>
        <v>23</v>
      </c>
      <c r="S77" s="26">
        <f t="shared" ca="1" si="43"/>
        <v>110</v>
      </c>
      <c r="T77" s="61">
        <f t="shared" ca="1" si="44"/>
        <v>1.7</v>
      </c>
      <c r="U77" s="62">
        <f t="shared" ca="1" si="45"/>
        <v>0.90909090909090906</v>
      </c>
      <c r="V77" s="63">
        <f t="shared" ca="1" si="46"/>
        <v>0</v>
      </c>
      <c r="W77" s="3"/>
      <c r="X77" s="1"/>
    </row>
    <row r="78" spans="1:24" ht="15" customHeight="1">
      <c r="A78" s="52">
        <v>48</v>
      </c>
      <c r="B78" s="26">
        <v>8</v>
      </c>
      <c r="C78" s="39">
        <v>3</v>
      </c>
      <c r="D78" s="30">
        <v>1</v>
      </c>
      <c r="E78" s="17">
        <v>2</v>
      </c>
      <c r="F78" s="41">
        <v>3</v>
      </c>
      <c r="G78" s="18">
        <v>2</v>
      </c>
      <c r="H78" s="50">
        <f t="shared" ca="1" si="36"/>
        <v>173</v>
      </c>
      <c r="I78" s="52">
        <f t="shared" ca="1" si="47"/>
        <v>14</v>
      </c>
      <c r="J78" s="26">
        <f t="shared" ca="1" si="39"/>
        <v>187</v>
      </c>
      <c r="K78" s="50">
        <f t="shared" ca="1" si="37"/>
        <v>1</v>
      </c>
      <c r="L78" s="52"/>
      <c r="M78" s="26">
        <f t="shared" ca="1" si="40"/>
        <v>1</v>
      </c>
      <c r="N78" s="50"/>
      <c r="O78" s="52"/>
      <c r="P78" s="26">
        <f t="shared" si="41"/>
        <v>0</v>
      </c>
      <c r="Q78" s="50">
        <f t="shared" ca="1" si="42"/>
        <v>87</v>
      </c>
      <c r="R78" s="52">
        <f t="shared" ca="1" si="38"/>
        <v>23</v>
      </c>
      <c r="S78" s="26">
        <f t="shared" ca="1" si="43"/>
        <v>110</v>
      </c>
      <c r="T78" s="61">
        <f t="shared" ca="1" si="44"/>
        <v>1.7</v>
      </c>
      <c r="U78" s="62">
        <f t="shared" ca="1" si="45"/>
        <v>0.90909090909090906</v>
      </c>
      <c r="V78" s="63">
        <f t="shared" ca="1" si="46"/>
        <v>0</v>
      </c>
      <c r="W78" s="3"/>
      <c r="X78" s="1"/>
    </row>
    <row r="79" spans="1:24" ht="15" customHeight="1">
      <c r="A79" s="52">
        <v>48</v>
      </c>
      <c r="B79" s="26">
        <v>9</v>
      </c>
      <c r="C79" s="39">
        <v>3</v>
      </c>
      <c r="D79" s="30">
        <v>1</v>
      </c>
      <c r="E79" s="17">
        <v>2</v>
      </c>
      <c r="F79" s="41">
        <v>3</v>
      </c>
      <c r="G79" s="18">
        <v>2</v>
      </c>
      <c r="H79" s="50">
        <f t="shared" ca="1" si="36"/>
        <v>173</v>
      </c>
      <c r="I79" s="52">
        <f t="shared" ca="1" si="47"/>
        <v>14</v>
      </c>
      <c r="J79" s="26">
        <f t="shared" ca="1" si="39"/>
        <v>187</v>
      </c>
      <c r="K79" s="50">
        <f t="shared" ca="1" si="37"/>
        <v>1</v>
      </c>
      <c r="L79" s="52"/>
      <c r="M79" s="26">
        <f t="shared" ca="1" si="40"/>
        <v>1</v>
      </c>
      <c r="N79" s="50"/>
      <c r="O79" s="52"/>
      <c r="P79" s="26">
        <f t="shared" si="41"/>
        <v>0</v>
      </c>
      <c r="Q79" s="50">
        <f t="shared" ca="1" si="42"/>
        <v>87</v>
      </c>
      <c r="R79" s="52">
        <f t="shared" ca="1" si="38"/>
        <v>23</v>
      </c>
      <c r="S79" s="26">
        <f t="shared" ca="1" si="43"/>
        <v>110</v>
      </c>
      <c r="T79" s="61">
        <f t="shared" ca="1" si="44"/>
        <v>1.7</v>
      </c>
      <c r="U79" s="62">
        <f t="shared" ca="1" si="45"/>
        <v>0.90909090909090906</v>
      </c>
      <c r="V79" s="63">
        <f t="shared" ca="1" si="46"/>
        <v>0</v>
      </c>
      <c r="W79" s="3"/>
      <c r="X79" s="1"/>
    </row>
    <row r="80" spans="1:24" ht="15" customHeight="1">
      <c r="A80" s="46">
        <v>48</v>
      </c>
      <c r="B80" s="28">
        <v>10</v>
      </c>
      <c r="C80" s="55">
        <v>3</v>
      </c>
      <c r="D80" s="29">
        <v>1</v>
      </c>
      <c r="E80" s="23">
        <v>2</v>
      </c>
      <c r="F80" s="56">
        <v>3</v>
      </c>
      <c r="G80" s="24">
        <v>2</v>
      </c>
      <c r="H80" s="51">
        <f t="shared" ca="1" si="36"/>
        <v>173</v>
      </c>
      <c r="I80" s="46">
        <f t="shared" ca="1" si="47"/>
        <v>14</v>
      </c>
      <c r="J80" s="28">
        <f t="shared" ca="1" si="39"/>
        <v>187</v>
      </c>
      <c r="K80" s="51">
        <f t="shared" ca="1" si="37"/>
        <v>1</v>
      </c>
      <c r="L80" s="46"/>
      <c r="M80" s="28">
        <f t="shared" ca="1" si="40"/>
        <v>1</v>
      </c>
      <c r="N80" s="51"/>
      <c r="O80" s="46"/>
      <c r="P80" s="28">
        <f t="shared" si="41"/>
        <v>0</v>
      </c>
      <c r="Q80" s="51">
        <f t="shared" ca="1" si="42"/>
        <v>87</v>
      </c>
      <c r="R80" s="46">
        <f t="shared" ca="1" si="38"/>
        <v>23</v>
      </c>
      <c r="S80" s="28">
        <f t="shared" ca="1" si="43"/>
        <v>110</v>
      </c>
      <c r="T80" s="64">
        <f t="shared" ca="1" si="44"/>
        <v>1.7</v>
      </c>
      <c r="U80" s="65">
        <f t="shared" ca="1" si="45"/>
        <v>0.90909090909090906</v>
      </c>
      <c r="V80" s="66">
        <f t="shared" ca="1" si="46"/>
        <v>0</v>
      </c>
      <c r="W80" s="3"/>
      <c r="X80" s="1"/>
    </row>
    <row r="81" spans="1:24" ht="15" customHeight="1">
      <c r="A81" s="43">
        <v>50</v>
      </c>
      <c r="B81" s="25" t="s">
        <v>51</v>
      </c>
      <c r="C81" s="7">
        <v>1</v>
      </c>
      <c r="D81" s="12">
        <v>2</v>
      </c>
      <c r="E81" s="8">
        <v>1</v>
      </c>
      <c r="F81" s="54">
        <v>3</v>
      </c>
      <c r="G81" s="13">
        <v>2</v>
      </c>
      <c r="H81" s="49">
        <f t="shared" ca="1" si="36"/>
        <v>200</v>
      </c>
      <c r="I81" s="43">
        <f t="shared" ca="1" si="47"/>
        <v>7</v>
      </c>
      <c r="J81" s="44">
        <f t="shared" ca="1" si="39"/>
        <v>207</v>
      </c>
      <c r="K81" s="49">
        <f t="shared" ca="1" si="37"/>
        <v>0.5</v>
      </c>
      <c r="L81" s="43"/>
      <c r="M81" s="44">
        <f t="shared" ca="1" si="40"/>
        <v>0.5</v>
      </c>
      <c r="N81" s="49"/>
      <c r="O81" s="43"/>
      <c r="P81" s="44">
        <f t="shared" si="41"/>
        <v>0</v>
      </c>
      <c r="Q81" s="49">
        <f t="shared" ca="1" si="42"/>
        <v>89</v>
      </c>
      <c r="R81" s="43">
        <f t="shared" ca="1" si="38"/>
        <v>23</v>
      </c>
      <c r="S81" s="44">
        <f t="shared" ca="1" si="43"/>
        <v>112</v>
      </c>
      <c r="T81" s="58">
        <f t="shared" ca="1" si="44"/>
        <v>1.8482142857142858</v>
      </c>
      <c r="U81" s="59">
        <f t="shared" ca="1" si="45"/>
        <v>0.4464285714285714</v>
      </c>
      <c r="V81" s="60">
        <f t="shared" ca="1" si="46"/>
        <v>0</v>
      </c>
      <c r="W81" s="3" t="s">
        <v>52</v>
      </c>
      <c r="X81" s="1"/>
    </row>
    <row r="82" spans="1:24" ht="15" customHeight="1">
      <c r="A82" s="52">
        <v>52</v>
      </c>
      <c r="B82" s="2" t="s">
        <v>53</v>
      </c>
      <c r="C82" s="27">
        <v>1</v>
      </c>
      <c r="D82" s="41">
        <v>3</v>
      </c>
      <c r="E82" s="17">
        <v>2</v>
      </c>
      <c r="F82" s="14"/>
      <c r="G82" s="15"/>
      <c r="H82" s="50">
        <f t="shared" ca="1" si="36"/>
        <v>136</v>
      </c>
      <c r="I82" s="52">
        <f t="shared" ca="1" si="47"/>
        <v>7</v>
      </c>
      <c r="J82" s="26">
        <f t="shared" ca="1" si="39"/>
        <v>143</v>
      </c>
      <c r="K82" s="50">
        <f t="shared" ca="1" si="37"/>
        <v>0.5</v>
      </c>
      <c r="L82" s="52"/>
      <c r="M82" s="26">
        <f t="shared" ca="1" si="40"/>
        <v>0.5</v>
      </c>
      <c r="N82" s="50"/>
      <c r="O82" s="52"/>
      <c r="P82" s="26">
        <f t="shared" si="41"/>
        <v>0</v>
      </c>
      <c r="Q82" s="50">
        <f t="shared" ca="1" si="42"/>
        <v>53</v>
      </c>
      <c r="R82" s="52">
        <f t="shared" ca="1" si="38"/>
        <v>23</v>
      </c>
      <c r="S82" s="26">
        <f t="shared" ca="1" si="43"/>
        <v>76</v>
      </c>
      <c r="T82" s="61">
        <f t="shared" ca="1" si="44"/>
        <v>1.881578947368421</v>
      </c>
      <c r="U82" s="62">
        <f t="shared" ca="1" si="45"/>
        <v>0.6578947368421052</v>
      </c>
      <c r="V82" s="63">
        <f t="shared" ca="1" si="46"/>
        <v>0</v>
      </c>
      <c r="W82" s="3" t="s">
        <v>54</v>
      </c>
      <c r="X82" s="1"/>
    </row>
    <row r="83" spans="1:24" ht="15" customHeight="1">
      <c r="A83" s="46">
        <v>54</v>
      </c>
      <c r="B83" s="6" t="s">
        <v>55</v>
      </c>
      <c r="C83" s="19">
        <v>1</v>
      </c>
      <c r="D83" s="56">
        <v>3</v>
      </c>
      <c r="E83" s="23">
        <v>2</v>
      </c>
      <c r="F83" s="29">
        <v>1</v>
      </c>
      <c r="G83" s="21"/>
      <c r="H83" s="51">
        <f t="shared" ca="1" si="36"/>
        <v>176</v>
      </c>
      <c r="I83" s="46">
        <f t="shared" ca="1" si="47"/>
        <v>7</v>
      </c>
      <c r="J83" s="28">
        <f t="shared" ca="1" si="39"/>
        <v>183</v>
      </c>
      <c r="K83" s="51">
        <f t="shared" ca="1" si="37"/>
        <v>0.5</v>
      </c>
      <c r="L83" s="46"/>
      <c r="M83" s="28">
        <f t="shared" ca="1" si="40"/>
        <v>0.5</v>
      </c>
      <c r="N83" s="51"/>
      <c r="O83" s="46"/>
      <c r="P83" s="28">
        <f t="shared" si="41"/>
        <v>0</v>
      </c>
      <c r="Q83" s="51">
        <f t="shared" ca="1" si="42"/>
        <v>72</v>
      </c>
      <c r="R83" s="46">
        <f t="shared" ca="1" si="38"/>
        <v>23</v>
      </c>
      <c r="S83" s="28">
        <f t="shared" ca="1" si="43"/>
        <v>95</v>
      </c>
      <c r="T83" s="64">
        <f t="shared" ca="1" si="44"/>
        <v>1.9263157894736842</v>
      </c>
      <c r="U83" s="65">
        <f t="shared" ca="1" si="45"/>
        <v>0.52631578947368418</v>
      </c>
      <c r="V83" s="66">
        <f t="shared" ca="1" si="46"/>
        <v>0</v>
      </c>
      <c r="W83" s="3" t="s">
        <v>56</v>
      </c>
      <c r="X83" s="1"/>
    </row>
    <row r="84" spans="1:24" ht="15" customHeight="1">
      <c r="A84" s="43" t="s">
        <v>57</v>
      </c>
      <c r="B84" s="25" t="s">
        <v>58</v>
      </c>
      <c r="C84" s="53">
        <v>3</v>
      </c>
      <c r="D84" s="12">
        <v>2</v>
      </c>
      <c r="E84" s="54">
        <v>3</v>
      </c>
      <c r="F84" s="12">
        <v>2</v>
      </c>
      <c r="G84" s="38">
        <v>3</v>
      </c>
      <c r="H84" s="49">
        <f t="shared" ca="1" si="36"/>
        <v>146</v>
      </c>
      <c r="I84" s="43">
        <f t="shared" ca="1" si="47"/>
        <v>21</v>
      </c>
      <c r="J84" s="44">
        <f t="shared" ca="1" si="39"/>
        <v>167</v>
      </c>
      <c r="K84" s="49">
        <f t="shared" ca="1" si="37"/>
        <v>1.5</v>
      </c>
      <c r="L84" s="43"/>
      <c r="M84" s="44">
        <f t="shared" ca="1" si="40"/>
        <v>1.5</v>
      </c>
      <c r="N84" s="49"/>
      <c r="O84" s="43"/>
      <c r="P84" s="44">
        <f t="shared" si="41"/>
        <v>0</v>
      </c>
      <c r="Q84" s="49">
        <f t="shared" ca="1" si="42"/>
        <v>85</v>
      </c>
      <c r="R84" s="43">
        <f t="shared" ca="1" si="38"/>
        <v>23</v>
      </c>
      <c r="S84" s="44">
        <f t="shared" ca="1" si="43"/>
        <v>108</v>
      </c>
      <c r="T84" s="58">
        <f t="shared" ca="1" si="44"/>
        <v>1.5462962962962963</v>
      </c>
      <c r="U84" s="59">
        <f t="shared" ca="1" si="45"/>
        <v>1.3888888888888888</v>
      </c>
      <c r="V84" s="60">
        <f t="shared" ca="1" si="46"/>
        <v>0</v>
      </c>
      <c r="W84" s="3" t="s">
        <v>59</v>
      </c>
      <c r="X84" s="1"/>
    </row>
    <row r="85" spans="1:24" ht="15" customHeight="1">
      <c r="A85" s="52" t="s">
        <v>57</v>
      </c>
      <c r="B85" s="26">
        <v>2</v>
      </c>
      <c r="C85" s="39">
        <v>3</v>
      </c>
      <c r="D85" s="17">
        <v>2</v>
      </c>
      <c r="E85" s="41">
        <v>3</v>
      </c>
      <c r="F85" s="17">
        <v>2</v>
      </c>
      <c r="G85" s="31">
        <v>3</v>
      </c>
      <c r="H85" s="50">
        <f t="shared" ca="1" si="36"/>
        <v>146</v>
      </c>
      <c r="I85" s="52">
        <f t="shared" ca="1" si="47"/>
        <v>21</v>
      </c>
      <c r="J85" s="26">
        <f t="shared" ca="1" si="39"/>
        <v>167</v>
      </c>
      <c r="K85" s="50">
        <f t="shared" ca="1" si="37"/>
        <v>1.5</v>
      </c>
      <c r="L85" s="52"/>
      <c r="M85" s="26">
        <f t="shared" ca="1" si="40"/>
        <v>1.5</v>
      </c>
      <c r="N85" s="50"/>
      <c r="O85" s="52"/>
      <c r="P85" s="26">
        <f t="shared" si="41"/>
        <v>0</v>
      </c>
      <c r="Q85" s="50">
        <f t="shared" ca="1" si="42"/>
        <v>85</v>
      </c>
      <c r="R85" s="52">
        <f t="shared" ca="1" si="38"/>
        <v>23</v>
      </c>
      <c r="S85" s="26">
        <f t="shared" ca="1" si="43"/>
        <v>108</v>
      </c>
      <c r="T85" s="61">
        <f t="shared" ca="1" si="44"/>
        <v>1.5462962962962963</v>
      </c>
      <c r="U85" s="62">
        <f t="shared" ca="1" si="45"/>
        <v>1.3888888888888888</v>
      </c>
      <c r="V85" s="63">
        <f t="shared" ca="1" si="46"/>
        <v>0</v>
      </c>
      <c r="W85" s="3"/>
      <c r="X85" s="1"/>
    </row>
    <row r="86" spans="1:24" ht="15" customHeight="1">
      <c r="A86" s="46" t="s">
        <v>57</v>
      </c>
      <c r="B86" s="28">
        <v>3</v>
      </c>
      <c r="C86" s="55">
        <v>3</v>
      </c>
      <c r="D86" s="23">
        <v>2</v>
      </c>
      <c r="E86" s="56">
        <v>3</v>
      </c>
      <c r="F86" s="23">
        <v>2</v>
      </c>
      <c r="G86" s="40">
        <v>3</v>
      </c>
      <c r="H86" s="51">
        <f t="shared" ca="1" si="36"/>
        <v>146</v>
      </c>
      <c r="I86" s="46">
        <f t="shared" ca="1" si="47"/>
        <v>21</v>
      </c>
      <c r="J86" s="28">
        <f t="shared" ca="1" si="39"/>
        <v>167</v>
      </c>
      <c r="K86" s="51">
        <f t="shared" ca="1" si="37"/>
        <v>1.5</v>
      </c>
      <c r="L86" s="46"/>
      <c r="M86" s="28">
        <f t="shared" ca="1" si="40"/>
        <v>1.5</v>
      </c>
      <c r="N86" s="51"/>
      <c r="O86" s="46"/>
      <c r="P86" s="28">
        <f t="shared" si="41"/>
        <v>0</v>
      </c>
      <c r="Q86" s="51">
        <f t="shared" ca="1" si="42"/>
        <v>85</v>
      </c>
      <c r="R86" s="46">
        <f t="shared" ca="1" si="38"/>
        <v>23</v>
      </c>
      <c r="S86" s="28">
        <f t="shared" ca="1" si="43"/>
        <v>108</v>
      </c>
      <c r="T86" s="64">
        <f t="shared" ca="1" si="44"/>
        <v>1.5462962962962963</v>
      </c>
      <c r="U86" s="65">
        <f t="shared" ca="1" si="45"/>
        <v>1.3888888888888888</v>
      </c>
      <c r="V86" s="66">
        <f t="shared" ca="1" si="46"/>
        <v>0</v>
      </c>
      <c r="W86" s="3"/>
      <c r="X86" s="1"/>
    </row>
    <row r="87" spans="1:24" ht="15" customHeight="1">
      <c r="A87" s="43">
        <v>58</v>
      </c>
      <c r="B87" s="25" t="s">
        <v>60</v>
      </c>
      <c r="C87" s="11">
        <v>2</v>
      </c>
      <c r="D87" s="54">
        <v>3</v>
      </c>
      <c r="E87" s="12">
        <v>2</v>
      </c>
      <c r="F87" s="54">
        <v>3</v>
      </c>
      <c r="G87" s="13">
        <v>2</v>
      </c>
      <c r="H87" s="49">
        <f t="shared" ca="1" si="36"/>
        <v>157</v>
      </c>
      <c r="I87" s="43">
        <f t="shared" ca="1" si="47"/>
        <v>14</v>
      </c>
      <c r="J87" s="44">
        <f t="shared" ca="1" si="39"/>
        <v>171</v>
      </c>
      <c r="K87" s="49">
        <f t="shared" ca="1" si="37"/>
        <v>1</v>
      </c>
      <c r="L87" s="43"/>
      <c r="M87" s="44">
        <f t="shared" ca="1" si="40"/>
        <v>1</v>
      </c>
      <c r="N87" s="49"/>
      <c r="O87" s="43"/>
      <c r="P87" s="44">
        <f t="shared" si="41"/>
        <v>0</v>
      </c>
      <c r="Q87" s="49">
        <f t="shared" ca="1" si="42"/>
        <v>85</v>
      </c>
      <c r="R87" s="43">
        <f t="shared" ca="1" si="38"/>
        <v>23</v>
      </c>
      <c r="S87" s="44">
        <f t="shared" ca="1" si="43"/>
        <v>108</v>
      </c>
      <c r="T87" s="58">
        <f t="shared" ca="1" si="44"/>
        <v>1.5833333333333333</v>
      </c>
      <c r="U87" s="59">
        <f t="shared" ca="1" si="45"/>
        <v>0.92592592592592582</v>
      </c>
      <c r="V87" s="60">
        <f t="shared" ca="1" si="46"/>
        <v>0</v>
      </c>
      <c r="W87" s="3" t="s">
        <v>61</v>
      </c>
      <c r="X87" s="1"/>
    </row>
    <row r="88" spans="1:24" ht="15" customHeight="1">
      <c r="A88" s="52">
        <v>58</v>
      </c>
      <c r="B88" s="26">
        <v>2</v>
      </c>
      <c r="C88" s="16">
        <v>2</v>
      </c>
      <c r="D88" s="41">
        <v>3</v>
      </c>
      <c r="E88" s="17">
        <v>2</v>
      </c>
      <c r="F88" s="41">
        <v>3</v>
      </c>
      <c r="G88" s="18">
        <v>2</v>
      </c>
      <c r="H88" s="50">
        <f t="shared" ca="1" si="36"/>
        <v>157</v>
      </c>
      <c r="I88" s="52">
        <f t="shared" ca="1" si="47"/>
        <v>14</v>
      </c>
      <c r="J88" s="26">
        <f t="shared" ca="1" si="39"/>
        <v>171</v>
      </c>
      <c r="K88" s="50">
        <f t="shared" ca="1" si="37"/>
        <v>1</v>
      </c>
      <c r="L88" s="52"/>
      <c r="M88" s="26">
        <f t="shared" ca="1" si="40"/>
        <v>1</v>
      </c>
      <c r="N88" s="50"/>
      <c r="O88" s="52"/>
      <c r="P88" s="26">
        <f t="shared" si="41"/>
        <v>0</v>
      </c>
      <c r="Q88" s="50">
        <f t="shared" ca="1" si="42"/>
        <v>85</v>
      </c>
      <c r="R88" s="52">
        <f t="shared" ca="1" si="38"/>
        <v>23</v>
      </c>
      <c r="S88" s="26">
        <f t="shared" ca="1" si="43"/>
        <v>108</v>
      </c>
      <c r="T88" s="61">
        <f t="shared" ca="1" si="44"/>
        <v>1.5833333333333333</v>
      </c>
      <c r="U88" s="62">
        <f t="shared" ca="1" si="45"/>
        <v>0.92592592592592582</v>
      </c>
      <c r="V88" s="63">
        <f t="shared" ca="1" si="46"/>
        <v>0</v>
      </c>
      <c r="W88" s="3"/>
      <c r="X88" s="1"/>
    </row>
    <row r="89" spans="1:24" ht="15" customHeight="1">
      <c r="A89" s="52">
        <v>58</v>
      </c>
      <c r="B89" s="26">
        <v>3</v>
      </c>
      <c r="C89" s="16">
        <v>2</v>
      </c>
      <c r="D89" s="41">
        <v>3</v>
      </c>
      <c r="E89" s="17">
        <v>2</v>
      </c>
      <c r="F89" s="41">
        <v>3</v>
      </c>
      <c r="G89" s="18">
        <v>2</v>
      </c>
      <c r="H89" s="50">
        <f t="shared" ca="1" si="36"/>
        <v>157</v>
      </c>
      <c r="I89" s="52">
        <f t="shared" ca="1" si="47"/>
        <v>14</v>
      </c>
      <c r="J89" s="26">
        <f t="shared" ca="1" si="39"/>
        <v>171</v>
      </c>
      <c r="K89" s="50">
        <f t="shared" ca="1" si="37"/>
        <v>1</v>
      </c>
      <c r="L89" s="52"/>
      <c r="M89" s="26">
        <f t="shared" ca="1" si="40"/>
        <v>1</v>
      </c>
      <c r="N89" s="50"/>
      <c r="O89" s="52"/>
      <c r="P89" s="26">
        <f t="shared" si="41"/>
        <v>0</v>
      </c>
      <c r="Q89" s="50">
        <f t="shared" ca="1" si="42"/>
        <v>85</v>
      </c>
      <c r="R89" s="52">
        <f t="shared" ca="1" si="38"/>
        <v>23</v>
      </c>
      <c r="S89" s="26">
        <f t="shared" ca="1" si="43"/>
        <v>108</v>
      </c>
      <c r="T89" s="61">
        <f t="shared" ca="1" si="44"/>
        <v>1.5833333333333333</v>
      </c>
      <c r="U89" s="62">
        <f t="shared" ca="1" si="45"/>
        <v>0.92592592592592582</v>
      </c>
      <c r="V89" s="63">
        <f t="shared" ca="1" si="46"/>
        <v>0</v>
      </c>
      <c r="W89" s="3"/>
      <c r="X89" s="1"/>
    </row>
    <row r="90" spans="1:24" ht="15" customHeight="1">
      <c r="A90" s="52">
        <v>58</v>
      </c>
      <c r="B90" s="26">
        <v>4</v>
      </c>
      <c r="C90" s="16">
        <v>2</v>
      </c>
      <c r="D90" s="41">
        <v>3</v>
      </c>
      <c r="E90" s="17">
        <v>2</v>
      </c>
      <c r="F90" s="41">
        <v>3</v>
      </c>
      <c r="G90" s="18">
        <v>2</v>
      </c>
      <c r="H90" s="50">
        <f t="shared" ca="1" si="36"/>
        <v>157</v>
      </c>
      <c r="I90" s="52">
        <f t="shared" ca="1" si="47"/>
        <v>14</v>
      </c>
      <c r="J90" s="26">
        <f t="shared" ca="1" si="39"/>
        <v>171</v>
      </c>
      <c r="K90" s="50">
        <f t="shared" ca="1" si="37"/>
        <v>1</v>
      </c>
      <c r="L90" s="52"/>
      <c r="M90" s="26">
        <f t="shared" ca="1" si="40"/>
        <v>1</v>
      </c>
      <c r="N90" s="50"/>
      <c r="O90" s="52"/>
      <c r="P90" s="26">
        <f t="shared" si="41"/>
        <v>0</v>
      </c>
      <c r="Q90" s="50">
        <f t="shared" ca="1" si="42"/>
        <v>85</v>
      </c>
      <c r="R90" s="52">
        <f t="shared" ca="1" si="38"/>
        <v>23</v>
      </c>
      <c r="S90" s="26">
        <f t="shared" ca="1" si="43"/>
        <v>108</v>
      </c>
      <c r="T90" s="61">
        <f t="shared" ca="1" si="44"/>
        <v>1.5833333333333333</v>
      </c>
      <c r="U90" s="62">
        <f t="shared" ca="1" si="45"/>
        <v>0.92592592592592582</v>
      </c>
      <c r="V90" s="63">
        <f t="shared" ca="1" si="46"/>
        <v>0</v>
      </c>
      <c r="W90" s="3"/>
      <c r="X90" s="1"/>
    </row>
    <row r="91" spans="1:24" ht="15" customHeight="1">
      <c r="A91" s="52">
        <v>58</v>
      </c>
      <c r="B91" s="26">
        <v>5</v>
      </c>
      <c r="C91" s="16">
        <v>2</v>
      </c>
      <c r="D91" s="41">
        <v>3</v>
      </c>
      <c r="E91" s="17">
        <v>2</v>
      </c>
      <c r="F91" s="41">
        <v>3</v>
      </c>
      <c r="G91" s="18">
        <v>2</v>
      </c>
      <c r="H91" s="50">
        <f t="shared" ca="1" si="36"/>
        <v>157</v>
      </c>
      <c r="I91" s="52">
        <f t="shared" ca="1" si="47"/>
        <v>14</v>
      </c>
      <c r="J91" s="26">
        <f t="shared" ca="1" si="39"/>
        <v>171</v>
      </c>
      <c r="K91" s="50">
        <f t="shared" ca="1" si="37"/>
        <v>1</v>
      </c>
      <c r="L91" s="52"/>
      <c r="M91" s="26">
        <f t="shared" ca="1" si="40"/>
        <v>1</v>
      </c>
      <c r="N91" s="50"/>
      <c r="O91" s="52"/>
      <c r="P91" s="26">
        <f t="shared" si="41"/>
        <v>0</v>
      </c>
      <c r="Q91" s="50">
        <f t="shared" ca="1" si="42"/>
        <v>85</v>
      </c>
      <c r="R91" s="52">
        <f t="shared" ca="1" si="38"/>
        <v>23</v>
      </c>
      <c r="S91" s="26">
        <f t="shared" ca="1" si="43"/>
        <v>108</v>
      </c>
      <c r="T91" s="61">
        <f t="shared" ca="1" si="44"/>
        <v>1.5833333333333333</v>
      </c>
      <c r="U91" s="62">
        <f t="shared" ca="1" si="45"/>
        <v>0.92592592592592582</v>
      </c>
      <c r="V91" s="63">
        <f t="shared" ca="1" si="46"/>
        <v>0</v>
      </c>
      <c r="W91" s="3"/>
      <c r="X91" s="1"/>
    </row>
    <row r="92" spans="1:24" ht="15" customHeight="1">
      <c r="A92" s="46">
        <v>58</v>
      </c>
      <c r="B92" s="28">
        <v>6</v>
      </c>
      <c r="C92" s="22">
        <v>2</v>
      </c>
      <c r="D92" s="56">
        <v>3</v>
      </c>
      <c r="E92" s="23">
        <v>2</v>
      </c>
      <c r="F92" s="56">
        <v>3</v>
      </c>
      <c r="G92" s="24">
        <v>2</v>
      </c>
      <c r="H92" s="51">
        <f t="shared" ca="1" si="36"/>
        <v>157</v>
      </c>
      <c r="I92" s="46">
        <f t="shared" ca="1" si="47"/>
        <v>14</v>
      </c>
      <c r="J92" s="28">
        <f t="shared" ca="1" si="39"/>
        <v>171</v>
      </c>
      <c r="K92" s="51">
        <f t="shared" ca="1" si="37"/>
        <v>1</v>
      </c>
      <c r="L92" s="46"/>
      <c r="M92" s="28">
        <f t="shared" ca="1" si="40"/>
        <v>1</v>
      </c>
      <c r="N92" s="51"/>
      <c r="O92" s="46"/>
      <c r="P92" s="28">
        <f t="shared" si="41"/>
        <v>0</v>
      </c>
      <c r="Q92" s="51">
        <f t="shared" ca="1" si="42"/>
        <v>85</v>
      </c>
      <c r="R92" s="46">
        <f t="shared" ca="1" si="38"/>
        <v>23</v>
      </c>
      <c r="S92" s="28">
        <f t="shared" ca="1" si="43"/>
        <v>108</v>
      </c>
      <c r="T92" s="64">
        <f t="shared" ca="1" si="44"/>
        <v>1.5833333333333333</v>
      </c>
      <c r="U92" s="65">
        <f t="shared" ca="1" si="45"/>
        <v>0.92592592592592582</v>
      </c>
      <c r="V92" s="66">
        <f t="shared" ca="1" si="46"/>
        <v>0</v>
      </c>
      <c r="W92" s="3"/>
      <c r="X92" s="1"/>
    </row>
    <row r="93" spans="1:24" ht="15" customHeight="1">
      <c r="A93" s="43">
        <v>60</v>
      </c>
      <c r="B93" s="25" t="s">
        <v>62</v>
      </c>
      <c r="C93" s="7">
        <v>1</v>
      </c>
      <c r="D93" s="54">
        <v>3</v>
      </c>
      <c r="E93" s="12">
        <v>2</v>
      </c>
      <c r="F93" s="8">
        <v>1</v>
      </c>
      <c r="G93" s="38">
        <v>3</v>
      </c>
      <c r="H93" s="49">
        <f t="shared" ca="1" si="36"/>
        <v>189</v>
      </c>
      <c r="I93" s="43">
        <f t="shared" ca="1" si="47"/>
        <v>14</v>
      </c>
      <c r="J93" s="44">
        <f t="shared" ca="1" si="39"/>
        <v>203</v>
      </c>
      <c r="K93" s="49">
        <f t="shared" ca="1" si="37"/>
        <v>1</v>
      </c>
      <c r="L93" s="43"/>
      <c r="M93" s="44">
        <f t="shared" ca="1" si="40"/>
        <v>1</v>
      </c>
      <c r="N93" s="49"/>
      <c r="O93" s="43"/>
      <c r="P93" s="44">
        <f t="shared" si="41"/>
        <v>0</v>
      </c>
      <c r="Q93" s="49">
        <f t="shared" ca="1" si="42"/>
        <v>89</v>
      </c>
      <c r="R93" s="43">
        <f t="shared" ca="1" si="38"/>
        <v>23</v>
      </c>
      <c r="S93" s="44">
        <f t="shared" ca="1" si="43"/>
        <v>112</v>
      </c>
      <c r="T93" s="58">
        <f t="shared" ca="1" si="44"/>
        <v>1.8125</v>
      </c>
      <c r="U93" s="59">
        <f t="shared" ca="1" si="45"/>
        <v>0.89285714285714279</v>
      </c>
      <c r="V93" s="60">
        <f t="shared" ca="1" si="46"/>
        <v>0</v>
      </c>
      <c r="W93" s="3" t="s">
        <v>63</v>
      </c>
      <c r="X93" s="1"/>
    </row>
    <row r="94" spans="1:24" ht="12.75" customHeight="1">
      <c r="A94" s="52"/>
      <c r="B94" s="1"/>
      <c r="C94" s="1"/>
      <c r="D94" s="1"/>
      <c r="E94" s="1"/>
      <c r="F94" s="1"/>
      <c r="G94" s="1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1"/>
      <c r="X94" s="1"/>
    </row>
    <row r="95" spans="1:24" ht="12.75" customHeight="1">
      <c r="A95" s="52"/>
      <c r="B95" s="1"/>
      <c r="C95" s="52"/>
      <c r="D95" s="52"/>
      <c r="E95" s="52"/>
      <c r="F95" s="52"/>
      <c r="G95" s="5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45"/>
    </row>
  </sheetData>
  <sheetProtection sheet="1" objects="1" scenarios="1" selectLockedCells="1" autoFilter="0"/>
  <autoFilter ref="H2:V93"/>
  <mergeCells count="5">
    <mergeCell ref="T1:V1"/>
    <mergeCell ref="H1:J1"/>
    <mergeCell ref="K1:M1"/>
    <mergeCell ref="N1:P1"/>
    <mergeCell ref="Q1:S1"/>
  </mergeCells>
  <phoneticPr fontId="4" type="noConversion"/>
  <conditionalFormatting sqref="H3:V3">
    <cfRule type="cellIs" dxfId="3" priority="1" stopIfTrue="1" operator="equal">
      <formula>""</formula>
    </cfRule>
    <cfRule type="cellIs" dxfId="2" priority="2" stopIfTrue="1" operator="equal">
      <formula>0</formula>
    </cfRule>
  </conditionalFormatting>
  <conditionalFormatting sqref="A4:W93">
    <cfRule type="expression" dxfId="1" priority="3" stopIfTrue="1">
      <formula>$A4&gt;Level</formula>
    </cfRule>
    <cfRule type="cellIs" dxfId="0" priority="4" stopIfTrue="1" operator="equal">
      <formula>0</formula>
    </cfRule>
  </conditionalFormatting>
  <dataValidations count="1">
    <dataValidation type="list" allowBlank="1" showInputMessage="1" showErrorMessage="1" sqref="A1">
      <formula1>LevelList</formula1>
    </dataValidation>
  </dataValidations>
  <pageMargins left="0.75" right="0.75" top="1" bottom="1" header="0.5" footer="0.5"/>
  <pageSetup paperSize="9" firstPageNumber="0" fitToWidth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B18" sqref="B18"/>
    </sheetView>
  </sheetViews>
  <sheetFormatPr defaultRowHeight="12.75"/>
  <cols>
    <col min="1" max="4" width="20.7109375" style="75" customWidth="1"/>
    <col min="5" max="5" width="9.140625" style="75"/>
    <col min="6" max="6" width="4.7109375" style="75" customWidth="1"/>
    <col min="7" max="7" width="39.42578125" style="75" customWidth="1"/>
    <col min="8" max="16384" width="9.140625" style="75"/>
  </cols>
  <sheetData>
    <row r="1" spans="1:7" ht="18" customHeight="1">
      <c r="A1" s="121" t="s">
        <v>224</v>
      </c>
      <c r="B1" s="121"/>
      <c r="C1" s="91">
        <f>COUNTA(A8:D8,A11:D11,A18:D18,A21:D21,A28:D28,A31:D31)</f>
        <v>1</v>
      </c>
      <c r="D1" s="122" t="str">
        <f>IF($C$1&gt;$C$2,"Too many Traits selected!!","")</f>
        <v/>
      </c>
      <c r="E1" s="90"/>
      <c r="F1" s="90"/>
      <c r="G1" s="90"/>
    </row>
    <row r="2" spans="1:7" ht="18" customHeight="1">
      <c r="A2" s="121" t="s">
        <v>225</v>
      </c>
      <c r="B2" s="121"/>
      <c r="C2" s="91">
        <f>IF(Level&lt;15,0,IF(Level&lt;21,1,IF(Level&lt;27,2,IF(Level&lt;33,3,IF(Level&lt;39,4,IF(Level&lt;53,5,IF(Level&lt;57,6,7)))))))</f>
        <v>1</v>
      </c>
      <c r="D2" s="122"/>
      <c r="E2" s="89"/>
      <c r="F2" s="89"/>
      <c r="G2" s="89"/>
    </row>
    <row r="3" spans="1:7" ht="18" customHeight="1">
      <c r="A3" s="89"/>
      <c r="B3" s="89"/>
      <c r="C3" s="89"/>
      <c r="D3" s="89"/>
      <c r="E3" s="89"/>
      <c r="F3" s="89"/>
      <c r="G3" s="89"/>
    </row>
    <row r="4" spans="1:7" ht="15.75">
      <c r="A4" s="120" t="s">
        <v>105</v>
      </c>
      <c r="B4" s="120"/>
      <c r="C4" s="120"/>
      <c r="D4" s="120"/>
      <c r="E4" s="76"/>
      <c r="F4" s="76"/>
    </row>
    <row r="6" spans="1:7">
      <c r="A6" s="77" t="s">
        <v>106</v>
      </c>
      <c r="B6" s="84" t="s">
        <v>107</v>
      </c>
      <c r="C6" s="84" t="s">
        <v>109</v>
      </c>
      <c r="D6" s="78" t="s">
        <v>110</v>
      </c>
      <c r="F6" s="75" t="str">
        <f>IF(COUNTA($A$8:$D$8)+COUNTA($A$11:$D$11)&gt;=2,"X","")</f>
        <v/>
      </c>
      <c r="G6" s="87" t="s">
        <v>119</v>
      </c>
    </row>
    <row r="7" spans="1:7" ht="25.5">
      <c r="A7" s="79" t="s">
        <v>160</v>
      </c>
      <c r="B7" s="85" t="s">
        <v>108</v>
      </c>
      <c r="C7" s="85" t="s">
        <v>143</v>
      </c>
      <c r="D7" s="80" t="s">
        <v>111</v>
      </c>
      <c r="F7" s="75" t="str">
        <f>IF(COUNTA($A$8:$D$8)+COUNTA($A$11:$D$11)&gt;=3,"X","")</f>
        <v/>
      </c>
      <c r="G7" s="87" t="s">
        <v>120</v>
      </c>
    </row>
    <row r="8" spans="1:7" ht="30" customHeight="1">
      <c r="A8" s="110"/>
      <c r="B8" s="105"/>
      <c r="C8" s="106"/>
      <c r="D8" s="107"/>
      <c r="F8" s="75" t="str">
        <f>IF(COUNTA($A$8:$D$8)+COUNTA($A$11:$D$11)&gt;=4,"X","")</f>
        <v/>
      </c>
      <c r="G8" s="87" t="s">
        <v>121</v>
      </c>
    </row>
    <row r="9" spans="1:7">
      <c r="A9" s="81" t="s">
        <v>112</v>
      </c>
      <c r="B9" s="86" t="s">
        <v>114</v>
      </c>
      <c r="C9" s="86" t="s">
        <v>116</v>
      </c>
      <c r="D9" s="82" t="s">
        <v>117</v>
      </c>
    </row>
    <row r="10" spans="1:7" ht="38.25">
      <c r="A10" s="79" t="s">
        <v>113</v>
      </c>
      <c r="B10" s="85" t="s">
        <v>115</v>
      </c>
      <c r="C10" s="85" t="s">
        <v>222</v>
      </c>
      <c r="D10" s="83" t="s">
        <v>118</v>
      </c>
    </row>
    <row r="11" spans="1:7" ht="30" customHeight="1">
      <c r="A11" s="104"/>
      <c r="B11" s="106"/>
      <c r="C11" s="108"/>
      <c r="D11" s="107"/>
    </row>
    <row r="14" spans="1:7" ht="15.75">
      <c r="A14" s="120" t="s">
        <v>122</v>
      </c>
      <c r="B14" s="120"/>
      <c r="C14" s="120"/>
      <c r="D14" s="120"/>
      <c r="E14" s="76"/>
      <c r="F14" s="76"/>
    </row>
    <row r="16" spans="1:7">
      <c r="A16" s="77" t="s">
        <v>123</v>
      </c>
      <c r="B16" s="84" t="s">
        <v>125</v>
      </c>
      <c r="C16" s="84" t="s">
        <v>127</v>
      </c>
      <c r="D16" s="78" t="s">
        <v>129</v>
      </c>
      <c r="F16" s="75" t="str">
        <f>IF(COUNTA($A$18:$D$18)+COUNTA($A$21:$D$21)&gt;=2,"X","")</f>
        <v/>
      </c>
      <c r="G16" s="87" t="s">
        <v>146</v>
      </c>
    </row>
    <row r="17" spans="1:7" ht="25.5">
      <c r="A17" s="79" t="s">
        <v>124</v>
      </c>
      <c r="B17" s="85" t="s">
        <v>126</v>
      </c>
      <c r="C17" s="85" t="s">
        <v>128</v>
      </c>
      <c r="D17" s="80" t="s">
        <v>144</v>
      </c>
      <c r="F17" s="75" t="str">
        <f>IF(COUNTA($A$18:$D$18)+COUNTA($A$21:$D$21)&gt;=3,"X","")</f>
        <v/>
      </c>
      <c r="G17" s="87" t="s">
        <v>229</v>
      </c>
    </row>
    <row r="18" spans="1:7" ht="30" customHeight="1">
      <c r="A18" s="104" t="s">
        <v>255</v>
      </c>
      <c r="B18" s="106"/>
      <c r="C18" s="106"/>
      <c r="D18" s="107"/>
      <c r="F18" s="75" t="str">
        <f>IF(COUNTA($A$18:$D$18)+COUNTA($A$21:$D$21)&gt;=4,"X","")</f>
        <v/>
      </c>
      <c r="G18" s="87" t="s">
        <v>136</v>
      </c>
    </row>
    <row r="19" spans="1:7">
      <c r="A19" s="81" t="s">
        <v>130</v>
      </c>
      <c r="B19" s="86" t="s">
        <v>131</v>
      </c>
      <c r="C19" s="86" t="s">
        <v>133</v>
      </c>
      <c r="D19" s="82" t="s">
        <v>134</v>
      </c>
    </row>
    <row r="20" spans="1:7" ht="38.25">
      <c r="A20" s="79" t="s">
        <v>128</v>
      </c>
      <c r="B20" s="85" t="s">
        <v>132</v>
      </c>
      <c r="C20" s="85" t="s">
        <v>145</v>
      </c>
      <c r="D20" s="83" t="s">
        <v>135</v>
      </c>
    </row>
    <row r="21" spans="1:7" ht="30" customHeight="1">
      <c r="A21" s="104"/>
      <c r="B21" s="106"/>
      <c r="C21" s="106"/>
      <c r="D21" s="107"/>
    </row>
    <row r="24" spans="1:7" ht="15.75">
      <c r="A24" s="120" t="s">
        <v>137</v>
      </c>
      <c r="B24" s="120"/>
      <c r="C24" s="120"/>
      <c r="D24" s="120"/>
      <c r="E24" s="76"/>
      <c r="F24" s="76"/>
    </row>
    <row r="26" spans="1:7">
      <c r="A26" s="77" t="s">
        <v>138</v>
      </c>
      <c r="B26" s="84" t="s">
        <v>140</v>
      </c>
      <c r="C26" s="84" t="s">
        <v>141</v>
      </c>
      <c r="D26" s="78" t="s">
        <v>147</v>
      </c>
      <c r="F26" s="75" t="str">
        <f>IF(COUNTA($A$28:$D$28)+COUNTA($A$31:$D$31)&gt;=2,"X","")</f>
        <v/>
      </c>
      <c r="G26" s="87" t="s">
        <v>157</v>
      </c>
    </row>
    <row r="27" spans="1:7" ht="38.25">
      <c r="A27" s="79" t="s">
        <v>139</v>
      </c>
      <c r="B27" s="85" t="s">
        <v>223</v>
      </c>
      <c r="C27" s="88" t="s">
        <v>142</v>
      </c>
      <c r="D27" s="80" t="s">
        <v>148</v>
      </c>
      <c r="F27" s="75" t="str">
        <f>IF(COUNTA($A$28:$D$28)+COUNTA($A$31:$D$31)&gt;=3,"X","")</f>
        <v/>
      </c>
      <c r="G27" s="87" t="s">
        <v>158</v>
      </c>
    </row>
    <row r="28" spans="1:7" ht="30" customHeight="1">
      <c r="A28" s="104"/>
      <c r="B28" s="108"/>
      <c r="C28" s="108"/>
      <c r="D28" s="107"/>
      <c r="F28" s="75" t="str">
        <f>IF(COUNTA($A$28:$D$28)+COUNTA($A$31:$D$31)&gt;=4,"X","")</f>
        <v/>
      </c>
      <c r="G28" s="87" t="s">
        <v>159</v>
      </c>
    </row>
    <row r="29" spans="1:7">
      <c r="A29" s="81" t="s">
        <v>149</v>
      </c>
      <c r="B29" s="86" t="s">
        <v>151</v>
      </c>
      <c r="C29" s="86" t="s">
        <v>153</v>
      </c>
      <c r="D29" s="82" t="s">
        <v>155</v>
      </c>
    </row>
    <row r="30" spans="1:7" ht="38.25">
      <c r="A30" s="79" t="s">
        <v>150</v>
      </c>
      <c r="B30" s="85" t="s">
        <v>152</v>
      </c>
      <c r="C30" s="85" t="s">
        <v>154</v>
      </c>
      <c r="D30" s="83" t="s">
        <v>156</v>
      </c>
    </row>
    <row r="31" spans="1:7" ht="30" customHeight="1">
      <c r="A31" s="104"/>
      <c r="B31" s="106"/>
      <c r="C31" s="108"/>
      <c r="D31" s="109"/>
    </row>
  </sheetData>
  <sheetProtection sheet="1" selectLockedCells="1"/>
  <mergeCells count="6">
    <mergeCell ref="A4:D4"/>
    <mergeCell ref="A14:D14"/>
    <mergeCell ref="A24:D24"/>
    <mergeCell ref="A1:B1"/>
    <mergeCell ref="A2:B2"/>
    <mergeCell ref="D1:D2"/>
  </mergeCells>
  <phoneticPr fontId="4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32"/>
  <sheetViews>
    <sheetView workbookViewId="0">
      <selection activeCell="A33" sqref="A33"/>
    </sheetView>
  </sheetViews>
  <sheetFormatPr defaultRowHeight="12.75"/>
  <sheetData>
    <row r="2" spans="1:8" ht="18">
      <c r="A2" s="123" t="s">
        <v>230</v>
      </c>
      <c r="B2" s="123"/>
      <c r="C2" s="123"/>
      <c r="D2" s="123"/>
      <c r="E2" s="123"/>
      <c r="F2" s="123"/>
      <c r="G2" s="123"/>
      <c r="H2" s="123"/>
    </row>
    <row r="4" spans="1:8">
      <c r="A4" s="102" t="s">
        <v>231</v>
      </c>
    </row>
    <row r="5" spans="1:8">
      <c r="A5" s="102" t="s">
        <v>232</v>
      </c>
    </row>
    <row r="6" spans="1:8">
      <c r="A6" s="102" t="s">
        <v>233</v>
      </c>
    </row>
    <row r="7" spans="1:8">
      <c r="A7" s="102" t="s">
        <v>234</v>
      </c>
    </row>
    <row r="8" spans="1:8">
      <c r="A8" s="102" t="s">
        <v>235</v>
      </c>
    </row>
    <row r="10" spans="1:8">
      <c r="A10" s="103" t="s">
        <v>236</v>
      </c>
    </row>
    <row r="11" spans="1:8">
      <c r="A11" s="102" t="s">
        <v>237</v>
      </c>
    </row>
    <row r="12" spans="1:8">
      <c r="A12" s="102" t="s">
        <v>238</v>
      </c>
    </row>
    <row r="13" spans="1:8">
      <c r="A13" s="102" t="s">
        <v>239</v>
      </c>
    </row>
    <row r="15" spans="1:8">
      <c r="A15" s="102" t="s">
        <v>242</v>
      </c>
    </row>
    <row r="16" spans="1:8">
      <c r="A16" s="102" t="s">
        <v>240</v>
      </c>
    </row>
    <row r="17" spans="1:1">
      <c r="A17" s="102" t="s">
        <v>241</v>
      </c>
    </row>
    <row r="18" spans="1:1">
      <c r="A18" s="102" t="s">
        <v>243</v>
      </c>
    </row>
    <row r="19" spans="1:1">
      <c r="A19" s="103" t="s">
        <v>244</v>
      </c>
    </row>
    <row r="20" spans="1:1">
      <c r="A20" s="102" t="s">
        <v>245</v>
      </c>
    </row>
    <row r="21" spans="1:1">
      <c r="A21" s="102" t="s">
        <v>246</v>
      </c>
    </row>
    <row r="24" spans="1:1">
      <c r="A24" s="102" t="s">
        <v>247</v>
      </c>
    </row>
    <row r="25" spans="1:1">
      <c r="A25" s="102" t="s">
        <v>248</v>
      </c>
    </row>
    <row r="26" spans="1:1">
      <c r="A26" s="102" t="s">
        <v>249</v>
      </c>
    </row>
    <row r="28" spans="1:1">
      <c r="A28" s="103" t="s">
        <v>250</v>
      </c>
    </row>
    <row r="29" spans="1:1">
      <c r="A29" s="102" t="s">
        <v>251</v>
      </c>
    </row>
    <row r="30" spans="1:1">
      <c r="A30" s="102" t="s">
        <v>252</v>
      </c>
    </row>
    <row r="31" spans="1:1">
      <c r="A31" s="102" t="s">
        <v>253</v>
      </c>
    </row>
    <row r="32" spans="1:1">
      <c r="A32" s="102" t="s">
        <v>254</v>
      </c>
    </row>
  </sheetData>
  <sheetProtection sheet="1" objects="1" scenarios="1" selectLockedCells="1"/>
  <mergeCells count="1">
    <mergeCell ref="A2:H2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I65"/>
  <sheetViews>
    <sheetView workbookViewId="0">
      <pane xSplit="1" ySplit="1" topLeftCell="B24" activePane="bottomRight" state="frozenSplit"/>
      <selection pane="topRight" activeCell="N1" sqref="N1"/>
      <selection pane="bottomLeft" activeCell="A10" sqref="A10"/>
      <selection pane="bottomRight" activeCell="U59" sqref="U59"/>
    </sheetView>
  </sheetViews>
  <sheetFormatPr defaultRowHeight="12.75"/>
  <cols>
    <col min="1" max="1" width="18.140625" style="74" customWidth="1"/>
    <col min="2" max="61" width="4.7109375" style="57" customWidth="1"/>
  </cols>
  <sheetData>
    <row r="1" spans="1:61" s="70" customFormat="1" ht="13.5" thickBot="1">
      <c r="A1" s="72"/>
      <c r="B1" s="71">
        <v>1</v>
      </c>
      <c r="C1" s="71">
        <v>2</v>
      </c>
      <c r="D1" s="71">
        <v>3</v>
      </c>
      <c r="E1" s="71">
        <v>4</v>
      </c>
      <c r="F1" s="71">
        <v>5</v>
      </c>
      <c r="G1" s="71">
        <v>6</v>
      </c>
      <c r="H1" s="71">
        <v>7</v>
      </c>
      <c r="I1" s="71">
        <v>8</v>
      </c>
      <c r="J1" s="71">
        <v>9</v>
      </c>
      <c r="K1" s="71">
        <v>10</v>
      </c>
      <c r="L1" s="71">
        <v>11</v>
      </c>
      <c r="M1" s="71">
        <v>12</v>
      </c>
      <c r="N1" s="71">
        <v>13</v>
      </c>
      <c r="O1" s="71">
        <v>14</v>
      </c>
      <c r="P1" s="71">
        <v>15</v>
      </c>
      <c r="Q1" s="71">
        <v>16</v>
      </c>
      <c r="R1" s="71">
        <v>17</v>
      </c>
      <c r="S1" s="71">
        <v>18</v>
      </c>
      <c r="T1" s="71">
        <v>19</v>
      </c>
      <c r="U1" s="71">
        <v>20</v>
      </c>
      <c r="V1" s="71">
        <v>21</v>
      </c>
      <c r="W1" s="71">
        <v>22</v>
      </c>
      <c r="X1" s="71">
        <v>23</v>
      </c>
      <c r="Y1" s="71">
        <v>24</v>
      </c>
      <c r="Z1" s="71">
        <v>25</v>
      </c>
      <c r="AA1" s="71">
        <v>26</v>
      </c>
      <c r="AB1" s="71">
        <v>27</v>
      </c>
      <c r="AC1" s="71">
        <v>28</v>
      </c>
      <c r="AD1" s="71">
        <v>29</v>
      </c>
      <c r="AE1" s="71">
        <v>30</v>
      </c>
      <c r="AF1" s="71">
        <v>31</v>
      </c>
      <c r="AG1" s="71">
        <v>32</v>
      </c>
      <c r="AH1" s="71">
        <v>33</v>
      </c>
      <c r="AI1" s="71">
        <v>34</v>
      </c>
      <c r="AJ1" s="71">
        <v>35</v>
      </c>
      <c r="AK1" s="71">
        <v>36</v>
      </c>
      <c r="AL1" s="71">
        <v>37</v>
      </c>
      <c r="AM1" s="71">
        <v>38</v>
      </c>
      <c r="AN1" s="71">
        <v>39</v>
      </c>
      <c r="AO1" s="71">
        <v>40</v>
      </c>
      <c r="AP1" s="71">
        <v>41</v>
      </c>
      <c r="AQ1" s="71">
        <v>42</v>
      </c>
      <c r="AR1" s="71">
        <v>43</v>
      </c>
      <c r="AS1" s="71">
        <v>44</v>
      </c>
      <c r="AT1" s="71">
        <v>45</v>
      </c>
      <c r="AU1" s="71">
        <v>46</v>
      </c>
      <c r="AV1" s="71">
        <v>47</v>
      </c>
      <c r="AW1" s="71">
        <v>48</v>
      </c>
      <c r="AX1" s="71">
        <v>49</v>
      </c>
      <c r="AY1" s="71">
        <v>50</v>
      </c>
      <c r="AZ1" s="71">
        <v>51</v>
      </c>
      <c r="BA1" s="71">
        <v>52</v>
      </c>
      <c r="BB1" s="71">
        <v>53</v>
      </c>
      <c r="BC1" s="71">
        <v>54</v>
      </c>
      <c r="BD1" s="71">
        <v>55</v>
      </c>
      <c r="BE1" s="71">
        <v>56</v>
      </c>
      <c r="BF1" s="71">
        <v>57</v>
      </c>
      <c r="BG1" s="71">
        <v>58</v>
      </c>
      <c r="BH1" s="71">
        <v>59</v>
      </c>
      <c r="BI1" s="71">
        <v>60</v>
      </c>
    </row>
    <row r="2" spans="1:61">
      <c r="A2" s="73" t="s">
        <v>161</v>
      </c>
      <c r="B2" s="57">
        <v>4</v>
      </c>
      <c r="C2" s="57">
        <v>5</v>
      </c>
      <c r="D2" s="57">
        <v>6</v>
      </c>
      <c r="E2" s="57">
        <v>6</v>
      </c>
      <c r="F2" s="57">
        <v>7</v>
      </c>
      <c r="G2" s="57">
        <v>8</v>
      </c>
      <c r="H2" s="57">
        <v>9</v>
      </c>
      <c r="I2" s="57">
        <v>10</v>
      </c>
      <c r="J2" s="57">
        <v>11</v>
      </c>
      <c r="K2" s="57">
        <v>11</v>
      </c>
      <c r="L2" s="57">
        <v>12</v>
      </c>
      <c r="M2" s="57">
        <v>13</v>
      </c>
      <c r="N2" s="57">
        <v>14</v>
      </c>
      <c r="O2" s="57">
        <v>14</v>
      </c>
      <c r="P2" s="57">
        <v>15</v>
      </c>
      <c r="Q2" s="57">
        <v>16</v>
      </c>
      <c r="R2" s="57">
        <v>17</v>
      </c>
      <c r="S2" s="57">
        <v>18</v>
      </c>
      <c r="T2" s="57">
        <v>19</v>
      </c>
      <c r="U2" s="57">
        <v>19</v>
      </c>
      <c r="Y2" s="57">
        <v>23</v>
      </c>
      <c r="Z2" s="57">
        <v>23</v>
      </c>
      <c r="AA2" s="57">
        <v>24</v>
      </c>
      <c r="AB2" s="57">
        <v>25</v>
      </c>
      <c r="AC2" s="57">
        <v>26</v>
      </c>
    </row>
    <row r="3" spans="1:61">
      <c r="A3" s="73" t="s">
        <v>162</v>
      </c>
      <c r="C3" s="57">
        <v>5</v>
      </c>
      <c r="D3" s="57">
        <v>7</v>
      </c>
      <c r="E3" s="57">
        <v>8</v>
      </c>
      <c r="F3" s="57">
        <v>9</v>
      </c>
      <c r="G3" s="57">
        <v>10</v>
      </c>
      <c r="H3" s="57">
        <v>11</v>
      </c>
      <c r="I3" s="57">
        <v>11</v>
      </c>
      <c r="J3" s="57">
        <v>13</v>
      </c>
      <c r="K3" s="57">
        <v>14</v>
      </c>
      <c r="L3" s="57">
        <v>15</v>
      </c>
      <c r="M3" s="57">
        <v>16</v>
      </c>
      <c r="N3" s="57">
        <v>17</v>
      </c>
      <c r="O3" s="57">
        <v>18</v>
      </c>
      <c r="P3" s="57">
        <v>18</v>
      </c>
      <c r="Q3" s="57">
        <v>19</v>
      </c>
      <c r="R3" s="57">
        <v>21</v>
      </c>
      <c r="S3" s="57">
        <v>22</v>
      </c>
      <c r="T3" s="57">
        <v>23</v>
      </c>
      <c r="U3" s="57">
        <v>24</v>
      </c>
      <c r="Y3" s="57">
        <v>25</v>
      </c>
      <c r="Z3" s="57">
        <v>26</v>
      </c>
      <c r="AA3" s="57">
        <v>27</v>
      </c>
      <c r="AB3" s="57">
        <v>28</v>
      </c>
      <c r="AC3" s="57">
        <v>29</v>
      </c>
    </row>
    <row r="4" spans="1:61">
      <c r="A4" s="73" t="s">
        <v>163</v>
      </c>
      <c r="C4" s="57">
        <v>4</v>
      </c>
      <c r="D4" s="57">
        <v>5</v>
      </c>
      <c r="E4" s="57">
        <v>6</v>
      </c>
      <c r="F4" s="57">
        <v>6</v>
      </c>
      <c r="G4" s="57">
        <v>7</v>
      </c>
      <c r="H4" s="57">
        <v>8</v>
      </c>
      <c r="I4" s="57">
        <v>8</v>
      </c>
      <c r="J4" s="57">
        <v>9</v>
      </c>
      <c r="K4" s="57">
        <v>10</v>
      </c>
      <c r="L4" s="57">
        <v>10</v>
      </c>
      <c r="M4" s="57">
        <v>11</v>
      </c>
      <c r="N4" s="57">
        <v>11</v>
      </c>
      <c r="O4" s="57">
        <v>12</v>
      </c>
      <c r="P4" s="57">
        <v>13</v>
      </c>
      <c r="Q4" s="57">
        <v>14</v>
      </c>
      <c r="R4" s="57">
        <v>14</v>
      </c>
      <c r="S4" s="57">
        <v>15</v>
      </c>
      <c r="T4" s="57">
        <v>16</v>
      </c>
      <c r="U4" s="57">
        <v>17</v>
      </c>
      <c r="Y4" s="57">
        <v>19</v>
      </c>
      <c r="Z4" s="57">
        <v>20</v>
      </c>
      <c r="AA4" s="57">
        <v>20</v>
      </c>
      <c r="AB4" s="57">
        <v>21</v>
      </c>
      <c r="AC4" s="57">
        <v>22</v>
      </c>
    </row>
    <row r="5" spans="1:61">
      <c r="A5" s="73" t="s">
        <v>164</v>
      </c>
      <c r="E5" s="57">
        <v>5</v>
      </c>
      <c r="F5" s="57">
        <v>5</v>
      </c>
      <c r="G5" s="57">
        <v>5</v>
      </c>
      <c r="H5" s="57">
        <v>6</v>
      </c>
      <c r="I5" s="57">
        <v>6</v>
      </c>
      <c r="J5" s="57">
        <v>7</v>
      </c>
      <c r="K5" s="57">
        <v>8</v>
      </c>
      <c r="L5" s="57">
        <v>8</v>
      </c>
      <c r="M5" s="57">
        <v>9</v>
      </c>
      <c r="N5" s="57">
        <v>10</v>
      </c>
      <c r="O5" s="57">
        <v>10</v>
      </c>
      <c r="P5" s="57">
        <v>11</v>
      </c>
      <c r="Q5" s="57">
        <v>11</v>
      </c>
      <c r="R5" s="57">
        <v>11</v>
      </c>
      <c r="S5" s="57">
        <v>12</v>
      </c>
      <c r="T5" s="57">
        <v>13</v>
      </c>
      <c r="U5" s="57">
        <v>13</v>
      </c>
      <c r="Y5" s="57">
        <v>14</v>
      </c>
      <c r="Z5" s="57">
        <v>15</v>
      </c>
      <c r="AA5" s="57">
        <v>16</v>
      </c>
      <c r="AB5" s="57">
        <v>16</v>
      </c>
      <c r="AC5" s="57">
        <v>17</v>
      </c>
    </row>
    <row r="6" spans="1:61">
      <c r="A6" s="73" t="s">
        <v>165</v>
      </c>
      <c r="E6" s="57">
        <v>2</v>
      </c>
      <c r="F6" s="57">
        <v>2</v>
      </c>
      <c r="G6" s="57">
        <v>2</v>
      </c>
      <c r="H6" s="57">
        <v>3</v>
      </c>
      <c r="I6" s="57">
        <v>3</v>
      </c>
      <c r="J6" s="57">
        <v>4</v>
      </c>
      <c r="K6" s="57">
        <v>4</v>
      </c>
      <c r="L6" s="57">
        <v>4</v>
      </c>
      <c r="M6" s="57">
        <v>4</v>
      </c>
      <c r="N6" s="57">
        <v>5</v>
      </c>
      <c r="O6" s="57">
        <v>5</v>
      </c>
      <c r="P6" s="57">
        <v>5</v>
      </c>
      <c r="Q6" s="57">
        <v>6</v>
      </c>
      <c r="R6" s="57">
        <v>6</v>
      </c>
      <c r="S6" s="57">
        <v>6</v>
      </c>
      <c r="T6" s="57">
        <v>7</v>
      </c>
      <c r="U6" s="57">
        <v>7</v>
      </c>
      <c r="Y6" s="57">
        <v>7</v>
      </c>
      <c r="Z6" s="57">
        <v>8</v>
      </c>
      <c r="AA6" s="57">
        <v>8</v>
      </c>
      <c r="AB6" s="57">
        <v>8</v>
      </c>
      <c r="AC6" s="57">
        <v>8</v>
      </c>
    </row>
    <row r="7" spans="1:61">
      <c r="A7" s="73" t="s">
        <v>166</v>
      </c>
      <c r="E7" s="57">
        <v>0.5</v>
      </c>
      <c r="F7" s="57">
        <v>0.5</v>
      </c>
      <c r="G7" s="57">
        <v>0.5</v>
      </c>
      <c r="H7" s="57">
        <v>0.5</v>
      </c>
      <c r="I7" s="57">
        <v>0.5</v>
      </c>
      <c r="J7" s="57">
        <v>0.5</v>
      </c>
      <c r="K7" s="57">
        <v>0.5</v>
      </c>
      <c r="L7" s="57">
        <v>0.5</v>
      </c>
      <c r="M7" s="57">
        <v>0.5</v>
      </c>
      <c r="N7" s="57">
        <v>0.5</v>
      </c>
      <c r="O7" s="57">
        <v>0.5</v>
      </c>
      <c r="P7" s="57">
        <v>0.5</v>
      </c>
      <c r="Q7" s="57">
        <v>0.5</v>
      </c>
      <c r="R7" s="57">
        <v>0.5</v>
      </c>
      <c r="S7" s="57">
        <v>0.5</v>
      </c>
      <c r="T7" s="57">
        <v>0.5</v>
      </c>
      <c r="U7" s="57">
        <v>0.5</v>
      </c>
      <c r="V7" s="57">
        <v>0.5</v>
      </c>
      <c r="W7" s="57">
        <v>0.5</v>
      </c>
      <c r="X7" s="57">
        <v>0.5</v>
      </c>
      <c r="Y7" s="57">
        <v>0.5</v>
      </c>
      <c r="Z7" s="57">
        <v>0.5</v>
      </c>
      <c r="AA7" s="57">
        <v>0.5</v>
      </c>
      <c r="AB7" s="57">
        <v>0.5</v>
      </c>
      <c r="AC7" s="57">
        <v>0.5</v>
      </c>
      <c r="AD7" s="57">
        <v>0.5</v>
      </c>
      <c r="AE7" s="57">
        <v>0.5</v>
      </c>
      <c r="AF7" s="57">
        <v>0.5</v>
      </c>
      <c r="AG7" s="57">
        <v>0.5</v>
      </c>
      <c r="AH7" s="57">
        <v>0.5</v>
      </c>
      <c r="AI7" s="57">
        <v>0.5</v>
      </c>
      <c r="AJ7" s="57">
        <v>0.5</v>
      </c>
      <c r="AK7" s="57">
        <v>0.5</v>
      </c>
      <c r="AL7" s="57">
        <v>0.5</v>
      </c>
      <c r="AM7" s="57">
        <v>0.5</v>
      </c>
      <c r="AN7" s="57">
        <v>0.5</v>
      </c>
      <c r="AO7" s="57">
        <v>0.5</v>
      </c>
      <c r="AP7" s="57">
        <v>0.5</v>
      </c>
      <c r="AQ7" s="57">
        <v>0.5</v>
      </c>
      <c r="AR7" s="57">
        <v>0.5</v>
      </c>
      <c r="AS7" s="57">
        <v>0.5</v>
      </c>
      <c r="AT7" s="57">
        <v>0.5</v>
      </c>
      <c r="AU7" s="57">
        <v>0.5</v>
      </c>
      <c r="AV7" s="57">
        <v>0.5</v>
      </c>
      <c r="AW7" s="57">
        <v>0.5</v>
      </c>
      <c r="AX7" s="57">
        <v>0.5</v>
      </c>
      <c r="AY7" s="57">
        <v>0.5</v>
      </c>
      <c r="AZ7" s="57">
        <v>0.5</v>
      </c>
      <c r="BA7" s="57">
        <v>0.5</v>
      </c>
      <c r="BB7" s="57">
        <v>0.5</v>
      </c>
      <c r="BC7" s="57">
        <v>0.5</v>
      </c>
      <c r="BD7" s="57">
        <v>0.5</v>
      </c>
      <c r="BE7" s="57">
        <v>0.5</v>
      </c>
      <c r="BF7" s="57">
        <v>0.5</v>
      </c>
      <c r="BG7" s="57">
        <v>0.5</v>
      </c>
      <c r="BH7" s="57">
        <v>0.5</v>
      </c>
      <c r="BI7" s="57">
        <v>0.5</v>
      </c>
    </row>
    <row r="8" spans="1:61">
      <c r="A8" s="73" t="s">
        <v>167</v>
      </c>
      <c r="E8" s="57">
        <v>6</v>
      </c>
      <c r="F8" s="57">
        <v>6</v>
      </c>
      <c r="G8" s="57">
        <v>7</v>
      </c>
      <c r="H8" s="57">
        <v>8</v>
      </c>
      <c r="I8" s="57">
        <v>8</v>
      </c>
      <c r="J8" s="57">
        <v>9</v>
      </c>
      <c r="K8" s="57">
        <v>10</v>
      </c>
      <c r="L8" s="57">
        <v>10</v>
      </c>
      <c r="M8" s="57">
        <v>11</v>
      </c>
      <c r="N8" s="57">
        <v>11</v>
      </c>
      <c r="O8" s="57">
        <v>12</v>
      </c>
      <c r="P8" s="57">
        <v>13</v>
      </c>
      <c r="Q8" s="57">
        <v>14</v>
      </c>
      <c r="R8" s="57">
        <v>14</v>
      </c>
      <c r="S8" s="57">
        <v>15</v>
      </c>
      <c r="T8" s="57">
        <v>16</v>
      </c>
      <c r="U8" s="57">
        <v>17</v>
      </c>
      <c r="Y8" s="57">
        <v>19</v>
      </c>
      <c r="Z8" s="57">
        <v>20</v>
      </c>
      <c r="AA8" s="57">
        <v>20</v>
      </c>
      <c r="AB8" s="57">
        <v>21</v>
      </c>
      <c r="AC8" s="57">
        <v>22</v>
      </c>
    </row>
    <row r="9" spans="1:61">
      <c r="A9" s="73" t="s">
        <v>168</v>
      </c>
      <c r="B9" s="57">
        <v>3</v>
      </c>
      <c r="C9" s="57">
        <v>5</v>
      </c>
      <c r="D9" s="57">
        <v>7</v>
      </c>
      <c r="E9" s="57">
        <v>7</v>
      </c>
      <c r="F9" s="57">
        <v>8</v>
      </c>
      <c r="G9" s="57">
        <v>8</v>
      </c>
      <c r="H9" s="57">
        <v>9</v>
      </c>
      <c r="I9" s="57">
        <v>10</v>
      </c>
      <c r="J9" s="57">
        <v>10</v>
      </c>
      <c r="K9" s="57">
        <v>11</v>
      </c>
      <c r="L9" s="57">
        <v>11</v>
      </c>
      <c r="M9" s="57">
        <v>11</v>
      </c>
      <c r="N9" s="57">
        <v>14</v>
      </c>
      <c r="O9" s="57">
        <v>14</v>
      </c>
      <c r="P9" s="57">
        <v>15</v>
      </c>
      <c r="Q9" s="57">
        <v>16</v>
      </c>
      <c r="R9" s="57">
        <v>16</v>
      </c>
      <c r="S9" s="57">
        <v>17</v>
      </c>
      <c r="T9" s="57">
        <v>19</v>
      </c>
      <c r="U9" s="57">
        <v>19</v>
      </c>
      <c r="Y9" s="57">
        <v>16</v>
      </c>
      <c r="Z9" s="57">
        <v>17</v>
      </c>
      <c r="AA9" s="57">
        <v>18</v>
      </c>
      <c r="AB9" s="57">
        <v>18</v>
      </c>
      <c r="AC9" s="57">
        <v>19</v>
      </c>
    </row>
    <row r="10" spans="1:61">
      <c r="A10" s="73" t="s">
        <v>169</v>
      </c>
      <c r="B10" s="57">
        <v>4</v>
      </c>
      <c r="C10" s="57">
        <v>6</v>
      </c>
      <c r="D10" s="57">
        <v>7</v>
      </c>
      <c r="E10" s="57">
        <v>8</v>
      </c>
      <c r="F10" s="57">
        <v>9</v>
      </c>
      <c r="G10" s="57">
        <v>10</v>
      </c>
      <c r="H10" s="57">
        <v>11</v>
      </c>
      <c r="I10" s="57">
        <v>11</v>
      </c>
      <c r="J10" s="57">
        <v>13</v>
      </c>
      <c r="K10" s="57">
        <v>14</v>
      </c>
      <c r="L10" s="57">
        <v>14</v>
      </c>
      <c r="M10" s="57">
        <v>15</v>
      </c>
      <c r="N10" s="57">
        <v>17</v>
      </c>
      <c r="O10" s="57">
        <v>17</v>
      </c>
      <c r="P10" s="57">
        <v>18</v>
      </c>
      <c r="Q10" s="57">
        <v>19</v>
      </c>
      <c r="R10" s="57">
        <v>20</v>
      </c>
      <c r="S10" s="57">
        <v>21</v>
      </c>
      <c r="T10" s="57">
        <v>22</v>
      </c>
      <c r="U10" s="57">
        <v>23</v>
      </c>
      <c r="Y10" s="57">
        <v>27</v>
      </c>
      <c r="Z10" s="57">
        <v>28</v>
      </c>
      <c r="AA10" s="57">
        <v>29</v>
      </c>
      <c r="AB10" s="57">
        <v>30</v>
      </c>
      <c r="AC10" s="57">
        <v>31</v>
      </c>
    </row>
    <row r="11" spans="1:61">
      <c r="A11" s="73" t="s">
        <v>170</v>
      </c>
      <c r="C11" s="57">
        <v>3</v>
      </c>
      <c r="D11" s="57">
        <v>5</v>
      </c>
      <c r="E11" s="57">
        <v>5</v>
      </c>
      <c r="F11" s="57">
        <v>5</v>
      </c>
      <c r="G11" s="57">
        <v>5</v>
      </c>
      <c r="H11" s="57">
        <v>6</v>
      </c>
      <c r="I11" s="57">
        <v>6</v>
      </c>
      <c r="J11" s="57">
        <v>6</v>
      </c>
      <c r="K11" s="57">
        <v>7</v>
      </c>
      <c r="L11" s="57">
        <v>7</v>
      </c>
      <c r="M11" s="57">
        <v>8</v>
      </c>
      <c r="N11" s="57">
        <v>9</v>
      </c>
      <c r="O11" s="57">
        <v>9</v>
      </c>
      <c r="P11" s="57">
        <v>9</v>
      </c>
      <c r="Q11" s="57">
        <v>10</v>
      </c>
      <c r="R11" s="57">
        <v>10</v>
      </c>
      <c r="S11" s="57">
        <v>10</v>
      </c>
      <c r="T11" s="57">
        <v>12</v>
      </c>
      <c r="U11" s="57">
        <v>12</v>
      </c>
      <c r="Y11" s="57">
        <v>9</v>
      </c>
      <c r="Z11" s="57">
        <v>9</v>
      </c>
      <c r="AA11" s="57">
        <v>9</v>
      </c>
      <c r="AB11" s="57">
        <v>10</v>
      </c>
      <c r="AC11" s="57">
        <v>10</v>
      </c>
    </row>
    <row r="12" spans="1:61">
      <c r="A12" s="73" t="s">
        <v>171</v>
      </c>
      <c r="C12" s="57">
        <v>5</v>
      </c>
      <c r="D12" s="57">
        <v>6</v>
      </c>
      <c r="E12" s="57">
        <v>6</v>
      </c>
      <c r="F12" s="57">
        <v>7</v>
      </c>
      <c r="G12" s="57">
        <v>8</v>
      </c>
      <c r="H12" s="57">
        <v>9</v>
      </c>
      <c r="I12" s="57">
        <v>10</v>
      </c>
      <c r="J12" s="57">
        <v>11</v>
      </c>
      <c r="K12" s="57">
        <v>11</v>
      </c>
      <c r="L12" s="57">
        <v>12</v>
      </c>
      <c r="M12" s="57">
        <v>13</v>
      </c>
      <c r="N12" s="57">
        <v>14</v>
      </c>
      <c r="O12" s="57">
        <v>14</v>
      </c>
      <c r="P12" s="57">
        <v>15</v>
      </c>
      <c r="Q12" s="57">
        <v>16</v>
      </c>
      <c r="R12" s="57">
        <v>17</v>
      </c>
      <c r="S12" s="57">
        <v>18</v>
      </c>
      <c r="T12" s="57">
        <v>19</v>
      </c>
      <c r="U12" s="57">
        <v>19</v>
      </c>
      <c r="Y12" s="57">
        <v>23</v>
      </c>
      <c r="Z12" s="57">
        <v>23</v>
      </c>
      <c r="AA12" s="57">
        <v>24</v>
      </c>
      <c r="AB12" s="57">
        <v>25</v>
      </c>
      <c r="AC12" s="57">
        <v>26</v>
      </c>
    </row>
    <row r="13" spans="1:61">
      <c r="A13" s="73" t="s">
        <v>172</v>
      </c>
      <c r="D13" s="57">
        <v>12</v>
      </c>
      <c r="E13" s="57">
        <v>13</v>
      </c>
      <c r="F13" s="57">
        <v>14</v>
      </c>
      <c r="G13" s="57">
        <v>16</v>
      </c>
      <c r="H13" s="57">
        <v>18</v>
      </c>
      <c r="I13" s="57">
        <v>19</v>
      </c>
      <c r="J13" s="57">
        <v>21</v>
      </c>
      <c r="K13" s="57">
        <v>23</v>
      </c>
      <c r="L13" s="57">
        <v>24</v>
      </c>
      <c r="M13" s="57">
        <v>26</v>
      </c>
      <c r="N13" s="57">
        <v>28</v>
      </c>
      <c r="O13" s="57">
        <v>29</v>
      </c>
      <c r="P13" s="57">
        <v>31</v>
      </c>
      <c r="Q13" s="57">
        <v>32</v>
      </c>
      <c r="R13" s="57">
        <v>35</v>
      </c>
      <c r="S13" s="57">
        <v>36</v>
      </c>
      <c r="T13" s="57">
        <v>38</v>
      </c>
      <c r="U13" s="57">
        <v>39</v>
      </c>
      <c r="Y13" s="57">
        <v>67</v>
      </c>
      <c r="Z13" s="57">
        <v>70</v>
      </c>
      <c r="AA13" s="57">
        <v>73</v>
      </c>
      <c r="AB13" s="57">
        <v>75</v>
      </c>
      <c r="AC13" s="57">
        <v>78</v>
      </c>
    </row>
    <row r="14" spans="1:61">
      <c r="A14" s="73" t="s">
        <v>173</v>
      </c>
      <c r="D14" s="57">
        <v>8</v>
      </c>
      <c r="E14" s="57">
        <v>9</v>
      </c>
      <c r="F14" s="57">
        <v>10</v>
      </c>
      <c r="G14" s="57">
        <v>12</v>
      </c>
      <c r="H14" s="57">
        <v>13</v>
      </c>
      <c r="I14" s="57">
        <v>14</v>
      </c>
      <c r="J14" s="57">
        <v>15</v>
      </c>
      <c r="K14" s="57">
        <v>16</v>
      </c>
      <c r="L14" s="57">
        <v>17</v>
      </c>
      <c r="M14" s="57">
        <v>18</v>
      </c>
      <c r="N14" s="57">
        <v>20</v>
      </c>
      <c r="O14" s="57">
        <v>21</v>
      </c>
      <c r="P14" s="57">
        <v>22</v>
      </c>
      <c r="Q14" s="57">
        <v>23</v>
      </c>
      <c r="R14" s="57">
        <v>24</v>
      </c>
      <c r="S14" s="57">
        <v>26</v>
      </c>
      <c r="T14" s="57">
        <v>27</v>
      </c>
      <c r="U14" s="57">
        <v>28</v>
      </c>
      <c r="Y14" s="57">
        <v>33</v>
      </c>
      <c r="Z14" s="57">
        <v>34</v>
      </c>
      <c r="AA14" s="57">
        <v>35</v>
      </c>
      <c r="AB14" s="57">
        <v>36</v>
      </c>
      <c r="AC14" s="57">
        <v>37</v>
      </c>
    </row>
    <row r="15" spans="1:61">
      <c r="A15" s="73" t="s">
        <v>174</v>
      </c>
      <c r="E15" s="57">
        <v>9</v>
      </c>
      <c r="F15" s="57">
        <v>10</v>
      </c>
      <c r="G15" s="57">
        <v>11</v>
      </c>
      <c r="H15" s="57">
        <v>12</v>
      </c>
      <c r="I15" s="57">
        <v>13</v>
      </c>
      <c r="J15" s="57">
        <v>16</v>
      </c>
      <c r="K15" s="57">
        <v>17</v>
      </c>
      <c r="L15" s="57">
        <v>18</v>
      </c>
      <c r="M15" s="57">
        <v>19</v>
      </c>
      <c r="N15" s="57">
        <v>20</v>
      </c>
      <c r="O15" s="57">
        <v>21</v>
      </c>
      <c r="P15" s="57">
        <v>22</v>
      </c>
      <c r="Q15" s="57">
        <v>23</v>
      </c>
      <c r="R15" s="57">
        <v>25</v>
      </c>
      <c r="S15" s="57">
        <v>26</v>
      </c>
      <c r="T15" s="57">
        <v>27</v>
      </c>
      <c r="U15" s="57">
        <v>29</v>
      </c>
      <c r="Y15" s="57">
        <v>31</v>
      </c>
      <c r="Z15" s="57">
        <v>32</v>
      </c>
      <c r="AA15" s="57">
        <v>33</v>
      </c>
      <c r="AB15" s="57">
        <v>34</v>
      </c>
      <c r="AC15" s="57">
        <v>35</v>
      </c>
    </row>
    <row r="16" spans="1:61">
      <c r="A16" s="73" t="s">
        <v>175</v>
      </c>
      <c r="E16" s="57">
        <v>2</v>
      </c>
      <c r="F16" s="57">
        <v>2</v>
      </c>
      <c r="G16" s="57">
        <v>3</v>
      </c>
      <c r="H16" s="57">
        <v>3</v>
      </c>
      <c r="I16" s="57">
        <v>3</v>
      </c>
      <c r="J16" s="57">
        <v>4</v>
      </c>
      <c r="K16" s="57">
        <v>4</v>
      </c>
      <c r="L16" s="57">
        <v>4</v>
      </c>
      <c r="M16" s="57">
        <v>4</v>
      </c>
      <c r="N16" s="57">
        <v>5</v>
      </c>
      <c r="O16" s="57">
        <v>5</v>
      </c>
      <c r="P16" s="57">
        <v>5</v>
      </c>
      <c r="Q16" s="57">
        <v>6</v>
      </c>
      <c r="R16" s="57">
        <v>6</v>
      </c>
      <c r="S16" s="57">
        <v>6</v>
      </c>
      <c r="T16" s="57">
        <v>7</v>
      </c>
      <c r="U16" s="57">
        <v>7</v>
      </c>
      <c r="Y16" s="57">
        <v>7</v>
      </c>
      <c r="Z16" s="57">
        <v>8</v>
      </c>
      <c r="AA16" s="57">
        <v>8</v>
      </c>
      <c r="AB16" s="57">
        <v>8</v>
      </c>
      <c r="AC16" s="57">
        <v>8</v>
      </c>
    </row>
    <row r="17" spans="1:61">
      <c r="A17" s="73" t="s">
        <v>176</v>
      </c>
      <c r="E17" s="57">
        <v>1</v>
      </c>
      <c r="F17" s="57">
        <v>1</v>
      </c>
      <c r="G17" s="57">
        <v>1</v>
      </c>
      <c r="H17" s="57">
        <v>1</v>
      </c>
      <c r="I17" s="57">
        <v>1</v>
      </c>
      <c r="J17" s="57">
        <v>1</v>
      </c>
      <c r="K17" s="57">
        <v>1</v>
      </c>
      <c r="L17" s="57">
        <v>1</v>
      </c>
      <c r="M17" s="57">
        <v>1</v>
      </c>
      <c r="N17" s="57">
        <v>1</v>
      </c>
      <c r="O17" s="57">
        <v>1</v>
      </c>
      <c r="P17" s="57">
        <v>1</v>
      </c>
      <c r="Q17" s="57">
        <v>1</v>
      </c>
      <c r="R17" s="57">
        <v>1</v>
      </c>
      <c r="S17" s="57">
        <v>1</v>
      </c>
      <c r="T17" s="57">
        <v>1</v>
      </c>
      <c r="U17" s="57">
        <v>1</v>
      </c>
      <c r="V17" s="57">
        <v>1</v>
      </c>
      <c r="W17" s="57">
        <v>1</v>
      </c>
      <c r="X17" s="57">
        <v>1</v>
      </c>
      <c r="Y17" s="57">
        <v>1</v>
      </c>
      <c r="Z17" s="57">
        <v>1</v>
      </c>
      <c r="AA17" s="57">
        <v>1</v>
      </c>
      <c r="AB17" s="57">
        <v>1</v>
      </c>
      <c r="AC17" s="57">
        <v>1</v>
      </c>
      <c r="AD17" s="57">
        <v>1</v>
      </c>
      <c r="AE17" s="57">
        <v>1</v>
      </c>
      <c r="AF17" s="57">
        <v>1</v>
      </c>
      <c r="AG17" s="57">
        <v>1</v>
      </c>
      <c r="AH17" s="57">
        <v>1</v>
      </c>
      <c r="AI17" s="57">
        <v>1</v>
      </c>
      <c r="AJ17" s="57">
        <v>1</v>
      </c>
      <c r="AK17" s="57">
        <v>1</v>
      </c>
      <c r="AL17" s="57">
        <v>1</v>
      </c>
      <c r="AM17" s="57">
        <v>1</v>
      </c>
      <c r="AN17" s="57">
        <v>1</v>
      </c>
      <c r="AO17" s="57">
        <v>1</v>
      </c>
      <c r="AP17" s="57">
        <v>1</v>
      </c>
      <c r="AQ17" s="57">
        <v>1</v>
      </c>
      <c r="AR17" s="57">
        <v>1</v>
      </c>
      <c r="AS17" s="57">
        <v>1</v>
      </c>
      <c r="AT17" s="57">
        <v>1</v>
      </c>
      <c r="AU17" s="57">
        <v>1</v>
      </c>
      <c r="AV17" s="57">
        <v>1</v>
      </c>
      <c r="AW17" s="57">
        <v>1</v>
      </c>
      <c r="AX17" s="57">
        <v>1</v>
      </c>
      <c r="AY17" s="57">
        <v>1</v>
      </c>
      <c r="AZ17" s="57">
        <v>1</v>
      </c>
      <c r="BA17" s="57">
        <v>1</v>
      </c>
      <c r="BB17" s="57">
        <v>1</v>
      </c>
      <c r="BC17" s="57">
        <v>1</v>
      </c>
      <c r="BD17" s="57">
        <v>1</v>
      </c>
      <c r="BE17" s="57">
        <v>1</v>
      </c>
      <c r="BF17" s="57">
        <v>1</v>
      </c>
      <c r="BG17" s="57">
        <v>1</v>
      </c>
      <c r="BH17" s="57">
        <v>1</v>
      </c>
      <c r="BI17" s="57">
        <v>1</v>
      </c>
    </row>
    <row r="18" spans="1:61">
      <c r="A18" s="73" t="s">
        <v>177</v>
      </c>
      <c r="E18" s="57">
        <v>0.5</v>
      </c>
      <c r="F18" s="57">
        <v>0.5</v>
      </c>
      <c r="G18" s="57">
        <v>0.5</v>
      </c>
      <c r="H18" s="57">
        <v>0.5</v>
      </c>
      <c r="I18" s="57">
        <v>0.5</v>
      </c>
      <c r="J18" s="57">
        <v>0.5</v>
      </c>
      <c r="K18" s="57">
        <v>0.5</v>
      </c>
      <c r="L18" s="57">
        <v>0.5</v>
      </c>
      <c r="M18" s="57">
        <v>0.5</v>
      </c>
      <c r="N18" s="57">
        <v>0.5</v>
      </c>
      <c r="O18" s="57">
        <v>0.5</v>
      </c>
      <c r="P18" s="57">
        <v>0.5</v>
      </c>
      <c r="Q18" s="57">
        <v>0.5</v>
      </c>
      <c r="R18" s="57">
        <v>0.5</v>
      </c>
      <c r="S18" s="57">
        <v>0.5</v>
      </c>
      <c r="T18" s="57">
        <v>0.5</v>
      </c>
      <c r="U18" s="57">
        <v>0.5</v>
      </c>
      <c r="V18" s="57">
        <v>0.5</v>
      </c>
      <c r="W18" s="57">
        <v>0.5</v>
      </c>
      <c r="X18" s="57">
        <v>0.5</v>
      </c>
      <c r="Y18" s="57">
        <v>0.5</v>
      </c>
      <c r="Z18" s="57">
        <v>0.5</v>
      </c>
      <c r="AA18" s="57">
        <v>0.5</v>
      </c>
      <c r="AB18" s="57">
        <v>0.5</v>
      </c>
      <c r="AC18" s="57">
        <v>0.5</v>
      </c>
      <c r="AD18" s="57">
        <v>0.5</v>
      </c>
      <c r="AE18" s="57">
        <v>0.5</v>
      </c>
      <c r="AF18" s="57">
        <v>0.5</v>
      </c>
      <c r="AG18" s="57">
        <v>0.5</v>
      </c>
      <c r="AH18" s="57">
        <v>0.5</v>
      </c>
      <c r="AI18" s="57">
        <v>0.5</v>
      </c>
      <c r="AJ18" s="57">
        <v>0.5</v>
      </c>
      <c r="AK18" s="57">
        <v>0.5</v>
      </c>
      <c r="AL18" s="57">
        <v>0.5</v>
      </c>
      <c r="AM18" s="57">
        <v>0.5</v>
      </c>
      <c r="AN18" s="57">
        <v>0.5</v>
      </c>
      <c r="AO18" s="57">
        <v>0.5</v>
      </c>
      <c r="AP18" s="57">
        <v>0.5</v>
      </c>
      <c r="AQ18" s="57">
        <v>0.5</v>
      </c>
      <c r="AR18" s="57">
        <v>0.5</v>
      </c>
      <c r="AS18" s="57">
        <v>0.5</v>
      </c>
      <c r="AT18" s="57">
        <v>0.5</v>
      </c>
      <c r="AU18" s="57">
        <v>0.5</v>
      </c>
      <c r="AV18" s="57">
        <v>0.5</v>
      </c>
      <c r="AW18" s="57">
        <v>0.5</v>
      </c>
      <c r="AX18" s="57">
        <v>0.5</v>
      </c>
      <c r="AY18" s="57">
        <v>0.5</v>
      </c>
      <c r="AZ18" s="57">
        <v>0.5</v>
      </c>
      <c r="BA18" s="57">
        <v>0.5</v>
      </c>
      <c r="BB18" s="57">
        <v>0.5</v>
      </c>
      <c r="BC18" s="57">
        <v>0.5</v>
      </c>
      <c r="BD18" s="57">
        <v>0.5</v>
      </c>
      <c r="BE18" s="57">
        <v>0.5</v>
      </c>
      <c r="BF18" s="57">
        <v>0.5</v>
      </c>
      <c r="BG18" s="57">
        <v>0.5</v>
      </c>
      <c r="BH18" s="57">
        <v>0.5</v>
      </c>
      <c r="BI18" s="57">
        <v>0.5</v>
      </c>
    </row>
    <row r="19" spans="1:61">
      <c r="A19" s="73" t="s">
        <v>178</v>
      </c>
      <c r="E19" s="57">
        <v>14</v>
      </c>
      <c r="F19" s="57">
        <v>15</v>
      </c>
      <c r="G19" s="57">
        <v>18</v>
      </c>
      <c r="H19" s="57">
        <v>19</v>
      </c>
      <c r="I19" s="57">
        <v>21</v>
      </c>
      <c r="J19" s="57">
        <v>23</v>
      </c>
      <c r="K19" s="57">
        <v>24</v>
      </c>
      <c r="L19" s="57">
        <v>26</v>
      </c>
      <c r="M19" s="57">
        <v>28</v>
      </c>
      <c r="N19" s="57">
        <v>30</v>
      </c>
      <c r="O19" s="57">
        <v>31</v>
      </c>
      <c r="P19" s="57">
        <v>33</v>
      </c>
      <c r="Q19" s="57">
        <v>34</v>
      </c>
      <c r="R19" s="57">
        <v>37</v>
      </c>
      <c r="S19" s="57">
        <v>38</v>
      </c>
      <c r="T19" s="57">
        <v>40</v>
      </c>
      <c r="U19" s="57">
        <v>41</v>
      </c>
      <c r="Y19" s="57">
        <v>49</v>
      </c>
      <c r="Z19" s="57">
        <v>50</v>
      </c>
      <c r="AA19" s="57">
        <v>52</v>
      </c>
      <c r="AB19" s="57">
        <v>54</v>
      </c>
      <c r="AC19" s="57">
        <v>56</v>
      </c>
    </row>
    <row r="20" spans="1:61">
      <c r="A20" s="73" t="s">
        <v>179</v>
      </c>
      <c r="G20" s="57">
        <v>7</v>
      </c>
      <c r="H20" s="57">
        <v>8</v>
      </c>
      <c r="I20" s="57">
        <v>8</v>
      </c>
      <c r="J20" s="57">
        <v>9</v>
      </c>
      <c r="K20" s="57">
        <v>9</v>
      </c>
      <c r="L20" s="57">
        <v>10</v>
      </c>
      <c r="M20" s="57">
        <v>10</v>
      </c>
      <c r="N20" s="57">
        <v>12</v>
      </c>
      <c r="O20" s="57">
        <v>13</v>
      </c>
      <c r="P20" s="57">
        <v>13</v>
      </c>
      <c r="Q20" s="57">
        <v>14</v>
      </c>
      <c r="R20" s="57">
        <v>14</v>
      </c>
      <c r="S20" s="57">
        <v>15</v>
      </c>
      <c r="T20" s="57">
        <v>16</v>
      </c>
      <c r="U20" s="57">
        <v>17</v>
      </c>
      <c r="Y20" s="57">
        <v>14</v>
      </c>
      <c r="Z20" s="57">
        <v>14</v>
      </c>
      <c r="AA20" s="57">
        <v>15</v>
      </c>
      <c r="AB20" s="57">
        <v>15</v>
      </c>
      <c r="AC20" s="57">
        <v>16</v>
      </c>
    </row>
    <row r="21" spans="1:61">
      <c r="A21" s="73" t="s">
        <v>180</v>
      </c>
      <c r="G21" s="57">
        <v>7</v>
      </c>
      <c r="H21" s="57">
        <v>9</v>
      </c>
      <c r="I21" s="57">
        <v>10</v>
      </c>
      <c r="J21" s="57">
        <v>10</v>
      </c>
      <c r="K21" s="57">
        <v>11</v>
      </c>
      <c r="L21" s="57">
        <v>12</v>
      </c>
      <c r="M21" s="57">
        <v>13</v>
      </c>
      <c r="N21" s="57">
        <v>15</v>
      </c>
      <c r="O21" s="57">
        <v>15</v>
      </c>
      <c r="P21" s="57">
        <v>16</v>
      </c>
      <c r="Q21" s="57">
        <v>17</v>
      </c>
      <c r="R21" s="57">
        <v>18</v>
      </c>
      <c r="S21" s="57">
        <v>19</v>
      </c>
      <c r="T21" s="57">
        <v>20</v>
      </c>
      <c r="U21" s="57">
        <v>21</v>
      </c>
      <c r="Y21" s="57">
        <v>24</v>
      </c>
      <c r="Z21" s="57">
        <v>26</v>
      </c>
      <c r="AA21" s="57">
        <v>26</v>
      </c>
      <c r="AB21" s="57">
        <v>27</v>
      </c>
      <c r="AC21" s="57">
        <v>28</v>
      </c>
    </row>
    <row r="22" spans="1:61">
      <c r="A22" s="73" t="s">
        <v>181</v>
      </c>
      <c r="G22" s="57">
        <v>7</v>
      </c>
      <c r="H22" s="57">
        <v>9</v>
      </c>
      <c r="I22" s="57">
        <v>10</v>
      </c>
      <c r="J22" s="57">
        <v>10</v>
      </c>
      <c r="K22" s="57">
        <v>11</v>
      </c>
      <c r="L22" s="57">
        <v>12</v>
      </c>
      <c r="M22" s="57">
        <v>13</v>
      </c>
      <c r="N22" s="57">
        <v>15</v>
      </c>
      <c r="O22" s="57">
        <v>15</v>
      </c>
      <c r="P22" s="57">
        <v>16</v>
      </c>
      <c r="Q22" s="57">
        <v>17</v>
      </c>
      <c r="R22" s="57">
        <v>18</v>
      </c>
      <c r="S22" s="57">
        <v>19</v>
      </c>
      <c r="T22" s="57">
        <v>20</v>
      </c>
      <c r="U22" s="57">
        <v>21</v>
      </c>
      <c r="Y22" s="57">
        <v>24</v>
      </c>
      <c r="Z22" s="57">
        <v>26</v>
      </c>
      <c r="AA22" s="57">
        <v>26</v>
      </c>
      <c r="AB22" s="57">
        <v>27</v>
      </c>
      <c r="AC22" s="57">
        <v>28</v>
      </c>
    </row>
    <row r="23" spans="1:61">
      <c r="A23" s="73" t="s">
        <v>182</v>
      </c>
      <c r="G23" s="57">
        <v>2</v>
      </c>
      <c r="H23" s="57">
        <v>2</v>
      </c>
      <c r="I23" s="57">
        <v>2</v>
      </c>
      <c r="J23" s="57">
        <v>2</v>
      </c>
      <c r="K23" s="57">
        <v>2</v>
      </c>
      <c r="L23" s="57">
        <v>3</v>
      </c>
      <c r="M23" s="57">
        <v>3</v>
      </c>
      <c r="N23" s="57">
        <v>3</v>
      </c>
      <c r="O23" s="57">
        <v>3</v>
      </c>
      <c r="P23" s="57">
        <v>3</v>
      </c>
      <c r="Q23" s="57">
        <v>4</v>
      </c>
      <c r="R23" s="57">
        <v>4</v>
      </c>
      <c r="S23" s="57">
        <v>4</v>
      </c>
      <c r="T23" s="57">
        <v>4</v>
      </c>
      <c r="U23" s="57">
        <v>4</v>
      </c>
      <c r="Y23" s="57">
        <v>5</v>
      </c>
      <c r="Z23" s="57">
        <v>5</v>
      </c>
      <c r="AA23" s="57">
        <v>5</v>
      </c>
      <c r="AB23" s="57">
        <v>6</v>
      </c>
      <c r="AC23" s="57">
        <v>6</v>
      </c>
    </row>
    <row r="24" spans="1:61">
      <c r="A24" s="73" t="s">
        <v>183</v>
      </c>
      <c r="I24" s="57">
        <v>0.5</v>
      </c>
      <c r="J24" s="57">
        <v>0.5</v>
      </c>
      <c r="K24" s="57">
        <v>0.5</v>
      </c>
      <c r="L24" s="57">
        <v>0.5</v>
      </c>
      <c r="M24" s="57">
        <v>0.5</v>
      </c>
      <c r="N24" s="57">
        <v>0.5</v>
      </c>
      <c r="O24" s="57">
        <v>0.5</v>
      </c>
      <c r="P24" s="57">
        <v>0.5</v>
      </c>
      <c r="Q24" s="57">
        <v>0.5</v>
      </c>
      <c r="R24" s="57">
        <v>0.5</v>
      </c>
      <c r="S24" s="57">
        <v>0.5</v>
      </c>
      <c r="T24" s="57">
        <v>0.5</v>
      </c>
      <c r="U24" s="57">
        <v>0.5</v>
      </c>
      <c r="V24" s="57">
        <v>0.5</v>
      </c>
      <c r="W24" s="57">
        <v>0.5</v>
      </c>
      <c r="X24" s="57">
        <v>0.5</v>
      </c>
      <c r="Y24" s="57">
        <v>0.5</v>
      </c>
      <c r="Z24" s="57">
        <v>0.5</v>
      </c>
      <c r="AA24" s="57">
        <v>0.5</v>
      </c>
      <c r="AB24" s="57">
        <v>0.5</v>
      </c>
      <c r="AC24" s="57">
        <v>0.5</v>
      </c>
      <c r="AD24" s="57">
        <v>0.5</v>
      </c>
      <c r="AE24" s="57">
        <v>0.5</v>
      </c>
      <c r="AF24" s="57">
        <v>0.5</v>
      </c>
      <c r="AG24" s="57">
        <v>0.5</v>
      </c>
      <c r="AH24" s="57">
        <v>0.5</v>
      </c>
      <c r="AI24" s="57">
        <v>0.5</v>
      </c>
      <c r="AJ24" s="57">
        <v>0.5</v>
      </c>
      <c r="AK24" s="57">
        <v>0.5</v>
      </c>
      <c r="AL24" s="57">
        <v>0.5</v>
      </c>
      <c r="AM24" s="57">
        <v>0.5</v>
      </c>
      <c r="AN24" s="57">
        <v>0.5</v>
      </c>
      <c r="AO24" s="57">
        <v>0.5</v>
      </c>
      <c r="AP24" s="57">
        <v>0.5</v>
      </c>
      <c r="AQ24" s="57">
        <v>0.5</v>
      </c>
      <c r="AR24" s="57">
        <v>0.5</v>
      </c>
      <c r="AS24" s="57">
        <v>0.5</v>
      </c>
      <c r="AT24" s="57">
        <v>0.5</v>
      </c>
      <c r="AU24" s="57">
        <v>0.5</v>
      </c>
      <c r="AV24" s="57">
        <v>0.5</v>
      </c>
      <c r="AW24" s="57">
        <v>0.5</v>
      </c>
      <c r="AX24" s="57">
        <v>0.5</v>
      </c>
      <c r="AY24" s="57">
        <v>0.5</v>
      </c>
      <c r="AZ24" s="57">
        <v>0.5</v>
      </c>
      <c r="BA24" s="57">
        <v>0.5</v>
      </c>
      <c r="BB24" s="57">
        <v>0.5</v>
      </c>
      <c r="BC24" s="57">
        <v>0.5</v>
      </c>
      <c r="BD24" s="57">
        <v>0.5</v>
      </c>
      <c r="BE24" s="57">
        <v>0.5</v>
      </c>
      <c r="BF24" s="57">
        <v>0.5</v>
      </c>
      <c r="BG24" s="57">
        <v>0.5</v>
      </c>
      <c r="BH24" s="57">
        <v>0.5</v>
      </c>
      <c r="BI24" s="57">
        <v>0.5</v>
      </c>
    </row>
    <row r="25" spans="1:61">
      <c r="A25" s="73" t="s">
        <v>184</v>
      </c>
      <c r="I25" s="57">
        <v>11</v>
      </c>
      <c r="J25" s="57">
        <v>13</v>
      </c>
      <c r="K25" s="57">
        <v>14</v>
      </c>
      <c r="L25" s="57">
        <v>14</v>
      </c>
      <c r="M25" s="57">
        <v>15</v>
      </c>
      <c r="N25" s="57">
        <v>17</v>
      </c>
      <c r="O25" s="57">
        <v>17</v>
      </c>
      <c r="P25" s="57">
        <v>18</v>
      </c>
      <c r="Q25" s="57">
        <v>19</v>
      </c>
      <c r="R25" s="57">
        <v>20</v>
      </c>
      <c r="S25" s="57">
        <v>21</v>
      </c>
      <c r="T25" s="57">
        <v>22</v>
      </c>
      <c r="U25" s="57">
        <v>23</v>
      </c>
      <c r="Y25" s="57">
        <v>27</v>
      </c>
      <c r="Z25" s="57">
        <v>28</v>
      </c>
      <c r="AA25" s="57">
        <v>29</v>
      </c>
      <c r="AB25" s="57">
        <v>30</v>
      </c>
      <c r="AC25" s="57">
        <v>31</v>
      </c>
    </row>
    <row r="26" spans="1:61">
      <c r="A26" s="73" t="s">
        <v>185</v>
      </c>
      <c r="J26" s="57">
        <v>14</v>
      </c>
      <c r="K26" s="57">
        <v>15</v>
      </c>
      <c r="L26" s="57">
        <v>16</v>
      </c>
      <c r="M26" s="57">
        <v>17</v>
      </c>
      <c r="N26" s="57">
        <v>18</v>
      </c>
      <c r="O26" s="57">
        <v>19</v>
      </c>
      <c r="P26" s="57">
        <v>20</v>
      </c>
      <c r="Q26" s="57">
        <v>21</v>
      </c>
      <c r="R26" s="57">
        <v>23</v>
      </c>
      <c r="S26" s="57">
        <v>24</v>
      </c>
      <c r="T26" s="57">
        <v>26</v>
      </c>
      <c r="U26" s="57">
        <v>27</v>
      </c>
      <c r="Y26" s="57">
        <v>31</v>
      </c>
      <c r="Z26" s="57">
        <v>32</v>
      </c>
      <c r="AA26" s="57">
        <v>33</v>
      </c>
      <c r="AB26" s="57">
        <v>34</v>
      </c>
      <c r="AC26" s="57">
        <v>35</v>
      </c>
    </row>
    <row r="27" spans="1:61">
      <c r="A27" s="73" t="s">
        <v>186</v>
      </c>
      <c r="J27" s="57">
        <v>3</v>
      </c>
      <c r="K27" s="57">
        <v>4</v>
      </c>
      <c r="L27" s="57">
        <v>4</v>
      </c>
      <c r="M27" s="57">
        <v>4</v>
      </c>
      <c r="N27" s="57">
        <v>4</v>
      </c>
      <c r="O27" s="57">
        <v>4</v>
      </c>
      <c r="P27" s="57">
        <v>5</v>
      </c>
      <c r="Q27" s="57">
        <v>5</v>
      </c>
      <c r="R27" s="57">
        <v>5</v>
      </c>
      <c r="S27" s="57">
        <v>6</v>
      </c>
      <c r="T27" s="57">
        <v>6</v>
      </c>
      <c r="U27" s="57">
        <v>6</v>
      </c>
      <c r="Y27" s="57">
        <v>7</v>
      </c>
      <c r="Z27" s="57">
        <v>8</v>
      </c>
      <c r="AA27" s="57">
        <v>8</v>
      </c>
      <c r="AB27" s="57">
        <v>8</v>
      </c>
      <c r="AC27" s="57">
        <v>8</v>
      </c>
    </row>
    <row r="28" spans="1:61">
      <c r="A28" s="73" t="s">
        <v>187</v>
      </c>
      <c r="J28" s="57">
        <v>7</v>
      </c>
      <c r="K28" s="57">
        <v>7</v>
      </c>
      <c r="L28" s="57">
        <v>8</v>
      </c>
      <c r="M28" s="57">
        <v>8</v>
      </c>
      <c r="N28" s="57">
        <v>9</v>
      </c>
      <c r="O28" s="57">
        <v>10</v>
      </c>
      <c r="P28" s="57">
        <v>10</v>
      </c>
      <c r="Q28" s="57">
        <v>11</v>
      </c>
      <c r="R28" s="57">
        <v>11</v>
      </c>
      <c r="S28" s="57">
        <v>12</v>
      </c>
      <c r="T28" s="57">
        <v>13</v>
      </c>
      <c r="U28" s="57">
        <v>13</v>
      </c>
      <c r="Y28" s="57">
        <v>15</v>
      </c>
      <c r="Z28" s="57">
        <v>16</v>
      </c>
      <c r="AA28" s="57">
        <v>17</v>
      </c>
      <c r="AB28" s="57">
        <v>17</v>
      </c>
      <c r="AC28" s="57">
        <v>18</v>
      </c>
    </row>
    <row r="29" spans="1:61">
      <c r="A29" s="73" t="s">
        <v>188</v>
      </c>
      <c r="J29" s="57">
        <v>7</v>
      </c>
      <c r="K29" s="57">
        <v>7</v>
      </c>
      <c r="L29" s="57">
        <v>8</v>
      </c>
      <c r="M29" s="57">
        <v>8</v>
      </c>
      <c r="N29" s="57">
        <v>9</v>
      </c>
      <c r="O29" s="57">
        <v>10</v>
      </c>
      <c r="P29" s="57">
        <v>10</v>
      </c>
      <c r="Q29" s="57">
        <v>11</v>
      </c>
      <c r="R29" s="57">
        <v>11</v>
      </c>
      <c r="S29" s="57">
        <v>12</v>
      </c>
      <c r="T29" s="57">
        <v>13</v>
      </c>
      <c r="U29" s="57">
        <v>13</v>
      </c>
      <c r="Y29" s="57">
        <v>15</v>
      </c>
      <c r="Z29" s="57">
        <v>16</v>
      </c>
      <c r="AA29" s="57">
        <v>17</v>
      </c>
      <c r="AB29" s="57">
        <v>17</v>
      </c>
      <c r="AC29" s="57">
        <v>18</v>
      </c>
    </row>
    <row r="30" spans="1:61">
      <c r="A30" s="73" t="s">
        <v>189</v>
      </c>
      <c r="J30" s="57">
        <v>17</v>
      </c>
      <c r="K30" s="57">
        <v>19</v>
      </c>
      <c r="L30" s="57">
        <v>20</v>
      </c>
      <c r="M30" s="57">
        <v>21</v>
      </c>
      <c r="N30" s="57">
        <v>23</v>
      </c>
      <c r="O30" s="57">
        <v>24</v>
      </c>
      <c r="P30" s="57">
        <v>26</v>
      </c>
      <c r="Q30" s="57">
        <v>27</v>
      </c>
      <c r="R30" s="57">
        <v>29</v>
      </c>
      <c r="S30" s="57">
        <v>30</v>
      </c>
      <c r="T30" s="57">
        <v>31</v>
      </c>
      <c r="U30" s="57">
        <v>33</v>
      </c>
      <c r="Y30" s="57">
        <v>38</v>
      </c>
      <c r="Z30" s="57">
        <v>39</v>
      </c>
      <c r="AA30" s="57">
        <v>40</v>
      </c>
      <c r="AB30" s="57">
        <v>42</v>
      </c>
      <c r="AC30" s="57">
        <v>43</v>
      </c>
    </row>
    <row r="31" spans="1:61">
      <c r="A31" s="73" t="s">
        <v>190</v>
      </c>
      <c r="M31" s="57">
        <v>6</v>
      </c>
      <c r="N31" s="57">
        <v>9</v>
      </c>
      <c r="O31" s="57">
        <v>9</v>
      </c>
      <c r="P31" s="57">
        <v>9</v>
      </c>
      <c r="Q31" s="57">
        <v>10</v>
      </c>
      <c r="R31" s="57">
        <v>10</v>
      </c>
      <c r="S31" s="57">
        <v>10</v>
      </c>
      <c r="T31" s="57">
        <v>12</v>
      </c>
      <c r="U31" s="57">
        <v>12</v>
      </c>
      <c r="Y31" s="57">
        <v>9</v>
      </c>
      <c r="Z31" s="57">
        <v>9</v>
      </c>
      <c r="AA31" s="57">
        <v>9</v>
      </c>
      <c r="AB31" s="57">
        <v>10</v>
      </c>
      <c r="AC31" s="57">
        <v>10</v>
      </c>
    </row>
    <row r="32" spans="1:61">
      <c r="A32" s="73" t="s">
        <v>191</v>
      </c>
      <c r="M32" s="57">
        <v>2</v>
      </c>
      <c r="N32" s="57">
        <v>2</v>
      </c>
      <c r="O32" s="57">
        <v>2</v>
      </c>
      <c r="P32" s="57">
        <v>2</v>
      </c>
      <c r="Q32" s="57">
        <v>2</v>
      </c>
      <c r="R32" s="57">
        <v>2</v>
      </c>
      <c r="S32" s="57">
        <v>2</v>
      </c>
      <c r="T32" s="57">
        <v>2</v>
      </c>
      <c r="U32" s="57">
        <v>2</v>
      </c>
      <c r="V32" s="57">
        <v>2</v>
      </c>
      <c r="W32" s="57">
        <v>2</v>
      </c>
      <c r="X32" s="57">
        <v>2</v>
      </c>
      <c r="Y32" s="57">
        <v>2</v>
      </c>
      <c r="Z32" s="57">
        <v>2</v>
      </c>
      <c r="AA32" s="57">
        <v>2</v>
      </c>
      <c r="AB32" s="57">
        <v>2</v>
      </c>
      <c r="AC32" s="57">
        <v>2</v>
      </c>
      <c r="AD32" s="57">
        <v>2</v>
      </c>
      <c r="AE32" s="57">
        <v>2</v>
      </c>
      <c r="AF32" s="57">
        <v>2</v>
      </c>
      <c r="AG32" s="57">
        <v>2</v>
      </c>
      <c r="AH32" s="57">
        <v>2</v>
      </c>
      <c r="AI32" s="57">
        <v>2</v>
      </c>
      <c r="AJ32" s="57">
        <v>2</v>
      </c>
      <c r="AK32" s="57">
        <v>2</v>
      </c>
      <c r="AL32" s="57">
        <v>2</v>
      </c>
      <c r="AM32" s="57">
        <v>2</v>
      </c>
      <c r="AN32" s="57">
        <v>2</v>
      </c>
      <c r="AO32" s="57">
        <v>2</v>
      </c>
      <c r="AP32" s="57">
        <v>2</v>
      </c>
      <c r="AQ32" s="57">
        <v>2</v>
      </c>
      <c r="AR32" s="57">
        <v>2</v>
      </c>
      <c r="AS32" s="57">
        <v>2</v>
      </c>
      <c r="AT32" s="57">
        <v>2</v>
      </c>
      <c r="AU32" s="57">
        <v>2</v>
      </c>
      <c r="AV32" s="57">
        <v>2</v>
      </c>
      <c r="AW32" s="57">
        <v>2</v>
      </c>
      <c r="AX32" s="57">
        <v>2</v>
      </c>
      <c r="AY32" s="57">
        <v>2</v>
      </c>
      <c r="AZ32" s="57">
        <v>2</v>
      </c>
      <c r="BA32" s="57">
        <v>2</v>
      </c>
      <c r="BB32" s="57">
        <v>2</v>
      </c>
      <c r="BC32" s="57">
        <v>2</v>
      </c>
      <c r="BD32" s="57">
        <v>2</v>
      </c>
      <c r="BE32" s="57">
        <v>2</v>
      </c>
      <c r="BF32" s="57">
        <v>2</v>
      </c>
      <c r="BG32" s="57">
        <v>2</v>
      </c>
      <c r="BH32" s="57">
        <v>2</v>
      </c>
      <c r="BI32" s="57">
        <v>2</v>
      </c>
    </row>
    <row r="33" spans="1:61">
      <c r="A33" s="73" t="s">
        <v>192</v>
      </c>
      <c r="M33" s="57">
        <v>0.5</v>
      </c>
      <c r="N33" s="57">
        <v>0.5</v>
      </c>
      <c r="O33" s="57">
        <v>0.5</v>
      </c>
      <c r="P33" s="57">
        <v>0.5</v>
      </c>
      <c r="Q33" s="57">
        <v>0.5</v>
      </c>
      <c r="R33" s="57">
        <v>0.5</v>
      </c>
      <c r="S33" s="57">
        <v>0.5</v>
      </c>
      <c r="T33" s="57">
        <v>0.5</v>
      </c>
      <c r="U33" s="57">
        <v>0.5</v>
      </c>
      <c r="V33" s="57">
        <v>0.5</v>
      </c>
      <c r="W33" s="57">
        <v>0.5</v>
      </c>
      <c r="X33" s="57">
        <v>0.5</v>
      </c>
      <c r="Y33" s="57">
        <v>0.5</v>
      </c>
      <c r="Z33" s="57">
        <v>0.5</v>
      </c>
      <c r="AA33" s="57">
        <v>0.5</v>
      </c>
      <c r="AB33" s="57">
        <v>0.5</v>
      </c>
      <c r="AC33" s="57">
        <v>0.5</v>
      </c>
      <c r="AD33" s="57">
        <v>0.5</v>
      </c>
      <c r="AE33" s="57">
        <v>0.5</v>
      </c>
      <c r="AF33" s="57">
        <v>0.5</v>
      </c>
      <c r="AG33" s="57">
        <v>0.5</v>
      </c>
      <c r="AH33" s="57">
        <v>0.5</v>
      </c>
      <c r="AI33" s="57">
        <v>0.5</v>
      </c>
      <c r="AJ33" s="57">
        <v>0.5</v>
      </c>
      <c r="AK33" s="57">
        <v>0.5</v>
      </c>
      <c r="AL33" s="57">
        <v>0.5</v>
      </c>
      <c r="AM33" s="57">
        <v>0.5</v>
      </c>
      <c r="AN33" s="57">
        <v>0.5</v>
      </c>
      <c r="AO33" s="57">
        <v>0.5</v>
      </c>
      <c r="AP33" s="57">
        <v>0.5</v>
      </c>
      <c r="AQ33" s="57">
        <v>0.5</v>
      </c>
      <c r="AR33" s="57">
        <v>0.5</v>
      </c>
      <c r="AS33" s="57">
        <v>0.5</v>
      </c>
      <c r="AT33" s="57">
        <v>0.5</v>
      </c>
      <c r="AU33" s="57">
        <v>0.5</v>
      </c>
      <c r="AV33" s="57">
        <v>0.5</v>
      </c>
      <c r="AW33" s="57">
        <v>0.5</v>
      </c>
      <c r="AX33" s="57">
        <v>0.5</v>
      </c>
      <c r="AY33" s="57">
        <v>0.5</v>
      </c>
      <c r="AZ33" s="57">
        <v>0.5</v>
      </c>
      <c r="BA33" s="57">
        <v>0.5</v>
      </c>
      <c r="BB33" s="57">
        <v>0.5</v>
      </c>
      <c r="BC33" s="57">
        <v>0.5</v>
      </c>
      <c r="BD33" s="57">
        <v>0.5</v>
      </c>
      <c r="BE33" s="57">
        <v>0.5</v>
      </c>
      <c r="BF33" s="57">
        <v>0.5</v>
      </c>
      <c r="BG33" s="57">
        <v>0.5</v>
      </c>
      <c r="BH33" s="57">
        <v>0.5</v>
      </c>
      <c r="BI33" s="57">
        <v>0.5</v>
      </c>
    </row>
    <row r="34" spans="1:61">
      <c r="A34" s="73" t="s">
        <v>193</v>
      </c>
      <c r="M34" s="57">
        <v>21</v>
      </c>
      <c r="N34" s="57">
        <v>23</v>
      </c>
      <c r="O34" s="57">
        <v>24</v>
      </c>
      <c r="P34" s="57">
        <v>26</v>
      </c>
      <c r="Q34" s="57">
        <v>27</v>
      </c>
      <c r="R34" s="57">
        <v>29</v>
      </c>
      <c r="S34" s="57">
        <v>30</v>
      </c>
      <c r="T34" s="57">
        <v>31</v>
      </c>
      <c r="U34" s="57">
        <v>32</v>
      </c>
      <c r="Y34" s="57">
        <v>38</v>
      </c>
      <c r="Z34" s="57">
        <v>39</v>
      </c>
      <c r="AA34" s="57">
        <v>40</v>
      </c>
      <c r="AB34" s="57">
        <v>42</v>
      </c>
      <c r="AC34" s="57">
        <v>43</v>
      </c>
    </row>
    <row r="35" spans="1:61">
      <c r="A35" s="73" t="s">
        <v>194</v>
      </c>
      <c r="N35" s="57">
        <v>4</v>
      </c>
      <c r="O35" s="57">
        <v>4</v>
      </c>
      <c r="P35" s="57">
        <v>5</v>
      </c>
      <c r="Q35" s="57">
        <v>5</v>
      </c>
      <c r="R35" s="57">
        <v>5</v>
      </c>
      <c r="S35" s="57">
        <v>6</v>
      </c>
      <c r="T35" s="57">
        <v>6</v>
      </c>
      <c r="U35" s="57">
        <v>6</v>
      </c>
      <c r="Y35" s="57">
        <v>7</v>
      </c>
      <c r="Z35" s="57">
        <v>8</v>
      </c>
      <c r="AA35" s="57">
        <v>8</v>
      </c>
      <c r="AB35" s="57">
        <v>8</v>
      </c>
      <c r="AC35" s="57">
        <v>8</v>
      </c>
    </row>
    <row r="36" spans="1:61">
      <c r="A36" s="73" t="s">
        <v>195</v>
      </c>
      <c r="N36" s="57">
        <v>0.5</v>
      </c>
      <c r="O36" s="57">
        <v>0.5</v>
      </c>
      <c r="P36" s="57">
        <v>0.5</v>
      </c>
      <c r="Q36" s="57">
        <v>0.5</v>
      </c>
      <c r="R36" s="57">
        <v>0.5</v>
      </c>
      <c r="S36" s="57">
        <v>0.5</v>
      </c>
      <c r="T36" s="57">
        <v>0.5</v>
      </c>
      <c r="U36" s="57">
        <v>0.5</v>
      </c>
      <c r="V36" s="57">
        <v>0.5</v>
      </c>
      <c r="W36" s="57">
        <v>0.5</v>
      </c>
      <c r="X36" s="57">
        <v>0.5</v>
      </c>
      <c r="Y36" s="57">
        <v>0.5</v>
      </c>
      <c r="Z36" s="57">
        <v>0.5</v>
      </c>
      <c r="AA36" s="57">
        <v>0.5</v>
      </c>
      <c r="AB36" s="57">
        <v>0.5</v>
      </c>
      <c r="AC36" s="57">
        <v>0.5</v>
      </c>
      <c r="AD36" s="57">
        <v>0.5</v>
      </c>
      <c r="AE36" s="57">
        <v>0.5</v>
      </c>
      <c r="AF36" s="57">
        <v>0.5</v>
      </c>
      <c r="AG36" s="57">
        <v>0.5</v>
      </c>
      <c r="AH36" s="57">
        <v>0.5</v>
      </c>
      <c r="AI36" s="57">
        <v>0.5</v>
      </c>
      <c r="AJ36" s="57">
        <v>0.5</v>
      </c>
      <c r="AK36" s="57">
        <v>0.5</v>
      </c>
      <c r="AL36" s="57">
        <v>0.5</v>
      </c>
      <c r="AM36" s="57">
        <v>0.5</v>
      </c>
      <c r="AN36" s="57">
        <v>0.5</v>
      </c>
      <c r="AO36" s="57">
        <v>0.5</v>
      </c>
      <c r="AP36" s="57">
        <v>0.5</v>
      </c>
      <c r="AQ36" s="57">
        <v>0.5</v>
      </c>
      <c r="AR36" s="57">
        <v>0.5</v>
      </c>
      <c r="AS36" s="57">
        <v>0.5</v>
      </c>
      <c r="AT36" s="57">
        <v>0.5</v>
      </c>
      <c r="AU36" s="57">
        <v>0.5</v>
      </c>
      <c r="AV36" s="57">
        <v>0.5</v>
      </c>
      <c r="AW36" s="57">
        <v>0.5</v>
      </c>
      <c r="AX36" s="57">
        <v>0.5</v>
      </c>
      <c r="AY36" s="57">
        <v>0.5</v>
      </c>
      <c r="AZ36" s="57">
        <v>0.5</v>
      </c>
      <c r="BA36" s="57">
        <v>0.5</v>
      </c>
      <c r="BB36" s="57">
        <v>0.5</v>
      </c>
      <c r="BC36" s="57">
        <v>0.5</v>
      </c>
      <c r="BD36" s="57">
        <v>0.5</v>
      </c>
      <c r="BE36" s="57">
        <v>0.5</v>
      </c>
      <c r="BF36" s="57">
        <v>0.5</v>
      </c>
      <c r="BG36" s="57">
        <v>0.5</v>
      </c>
      <c r="BH36" s="57">
        <v>0.5</v>
      </c>
      <c r="BI36" s="57">
        <v>0.5</v>
      </c>
    </row>
    <row r="37" spans="1:61">
      <c r="A37" s="73" t="s">
        <v>196</v>
      </c>
      <c r="N37" s="57">
        <v>0.5</v>
      </c>
      <c r="O37" s="57">
        <v>0.5</v>
      </c>
      <c r="P37" s="57">
        <v>0.5</v>
      </c>
      <c r="Q37" s="57">
        <v>0.5</v>
      </c>
      <c r="R37" s="57">
        <v>0.5</v>
      </c>
      <c r="S37" s="57">
        <v>0.5</v>
      </c>
      <c r="T37" s="57">
        <v>0.5</v>
      </c>
      <c r="U37" s="57">
        <v>0.5</v>
      </c>
      <c r="V37" s="57">
        <v>0.5</v>
      </c>
      <c r="W37" s="57">
        <v>0.5</v>
      </c>
      <c r="X37" s="57">
        <v>0.5</v>
      </c>
      <c r="Y37" s="57">
        <v>0.5</v>
      </c>
      <c r="Z37" s="57">
        <v>0.5</v>
      </c>
      <c r="AA37" s="57">
        <v>0.5</v>
      </c>
      <c r="AB37" s="57">
        <v>0.5</v>
      </c>
      <c r="AC37" s="57">
        <v>0.5</v>
      </c>
      <c r="AD37" s="57">
        <v>0.5</v>
      </c>
      <c r="AE37" s="57">
        <v>0.5</v>
      </c>
      <c r="AF37" s="57">
        <v>0.5</v>
      </c>
      <c r="AG37" s="57">
        <v>0.5</v>
      </c>
      <c r="AH37" s="57">
        <v>0.5</v>
      </c>
      <c r="AI37" s="57">
        <v>0.5</v>
      </c>
      <c r="AJ37" s="57">
        <v>0.5</v>
      </c>
      <c r="AK37" s="57">
        <v>0.5</v>
      </c>
      <c r="AL37" s="57">
        <v>0.5</v>
      </c>
      <c r="AM37" s="57">
        <v>0.5</v>
      </c>
      <c r="AN37" s="57">
        <v>0.5</v>
      </c>
      <c r="AO37" s="57">
        <v>0.5</v>
      </c>
      <c r="AP37" s="57">
        <v>0.5</v>
      </c>
      <c r="AQ37" s="57">
        <v>0.5</v>
      </c>
      <c r="AR37" s="57">
        <v>0.5</v>
      </c>
      <c r="AS37" s="57">
        <v>0.5</v>
      </c>
      <c r="AT37" s="57">
        <v>0.5</v>
      </c>
      <c r="AU37" s="57">
        <v>0.5</v>
      </c>
      <c r="AV37" s="57">
        <v>0.5</v>
      </c>
      <c r="AW37" s="57">
        <v>0.5</v>
      </c>
      <c r="AX37" s="57">
        <v>0.5</v>
      </c>
      <c r="AY37" s="57">
        <v>0.5</v>
      </c>
      <c r="AZ37" s="57">
        <v>0.5</v>
      </c>
      <c r="BA37" s="57">
        <v>0.5</v>
      </c>
      <c r="BB37" s="57">
        <v>0.5</v>
      </c>
      <c r="BC37" s="57">
        <v>0.5</v>
      </c>
      <c r="BD37" s="57">
        <v>0.5</v>
      </c>
      <c r="BE37" s="57">
        <v>0.5</v>
      </c>
      <c r="BF37" s="57">
        <v>0.5</v>
      </c>
      <c r="BG37" s="57">
        <v>0.5</v>
      </c>
      <c r="BH37" s="57">
        <v>0.5</v>
      </c>
      <c r="BI37" s="57">
        <v>0.5</v>
      </c>
    </row>
    <row r="38" spans="1:61">
      <c r="A38" s="73" t="s">
        <v>197</v>
      </c>
      <c r="N38" s="57">
        <v>9</v>
      </c>
      <c r="O38" s="57">
        <v>10</v>
      </c>
      <c r="P38" s="57">
        <v>10</v>
      </c>
      <c r="Q38" s="57">
        <v>11</v>
      </c>
      <c r="R38" s="57">
        <v>11</v>
      </c>
      <c r="S38" s="57">
        <v>12</v>
      </c>
      <c r="T38" s="57">
        <v>13</v>
      </c>
      <c r="U38" s="57">
        <v>13</v>
      </c>
      <c r="Y38" s="57">
        <v>15</v>
      </c>
      <c r="Z38" s="57">
        <v>16</v>
      </c>
      <c r="AA38" s="57">
        <v>17</v>
      </c>
      <c r="AB38" s="57">
        <v>17</v>
      </c>
      <c r="AC38" s="57">
        <v>18</v>
      </c>
    </row>
    <row r="39" spans="1:61">
      <c r="A39" s="73" t="s">
        <v>198</v>
      </c>
      <c r="N39" s="57">
        <v>9</v>
      </c>
      <c r="O39" s="57">
        <v>10</v>
      </c>
      <c r="P39" s="57">
        <v>10</v>
      </c>
      <c r="Q39" s="57">
        <v>11</v>
      </c>
      <c r="R39" s="57">
        <v>11</v>
      </c>
      <c r="S39" s="57">
        <v>12</v>
      </c>
      <c r="T39" s="57">
        <v>13</v>
      </c>
      <c r="U39" s="57">
        <v>13</v>
      </c>
      <c r="Y39" s="57">
        <v>15</v>
      </c>
      <c r="Z39" s="57">
        <v>16</v>
      </c>
      <c r="AA39" s="57">
        <v>17</v>
      </c>
      <c r="AB39" s="57">
        <v>17</v>
      </c>
      <c r="AC39" s="57">
        <v>18</v>
      </c>
    </row>
    <row r="40" spans="1:61">
      <c r="A40" s="73" t="s">
        <v>199</v>
      </c>
      <c r="N40" s="57">
        <v>30</v>
      </c>
      <c r="O40" s="57">
        <v>31</v>
      </c>
      <c r="P40" s="57">
        <v>33</v>
      </c>
      <c r="Q40" s="57">
        <v>34</v>
      </c>
      <c r="R40" s="57">
        <v>37</v>
      </c>
      <c r="S40" s="57">
        <v>38</v>
      </c>
      <c r="T40" s="57">
        <v>40</v>
      </c>
      <c r="U40" s="57">
        <v>41</v>
      </c>
      <c r="Y40" s="57">
        <v>49</v>
      </c>
      <c r="Z40" s="57">
        <v>50</v>
      </c>
      <c r="AA40" s="57">
        <v>52</v>
      </c>
      <c r="AB40" s="57">
        <v>54</v>
      </c>
      <c r="AC40" s="57">
        <v>56</v>
      </c>
    </row>
    <row r="41" spans="1:61">
      <c r="A41" s="73" t="s">
        <v>200</v>
      </c>
      <c r="Q41" s="57">
        <v>40</v>
      </c>
      <c r="R41" s="57">
        <v>42</v>
      </c>
      <c r="S41" s="57">
        <v>44</v>
      </c>
      <c r="T41" s="57">
        <v>47</v>
      </c>
      <c r="U41" s="57">
        <v>49</v>
      </c>
      <c r="Y41" s="57">
        <v>48</v>
      </c>
      <c r="Z41" s="57">
        <v>49</v>
      </c>
      <c r="AA41" s="57">
        <v>51</v>
      </c>
      <c r="AB41" s="57">
        <v>53</v>
      </c>
      <c r="AC41" s="57">
        <v>55</v>
      </c>
    </row>
    <row r="42" spans="1:61">
      <c r="A42" s="73" t="s">
        <v>201</v>
      </c>
      <c r="Q42" s="57">
        <v>20</v>
      </c>
      <c r="R42" s="57">
        <v>20</v>
      </c>
      <c r="S42" s="57">
        <v>21</v>
      </c>
      <c r="T42" s="57">
        <v>22</v>
      </c>
      <c r="U42" s="57">
        <v>23</v>
      </c>
      <c r="Y42" s="57">
        <v>25</v>
      </c>
      <c r="Z42" s="57">
        <v>26</v>
      </c>
      <c r="AA42" s="57">
        <v>27</v>
      </c>
      <c r="AB42" s="57">
        <v>28</v>
      </c>
      <c r="AC42" s="57">
        <v>29</v>
      </c>
    </row>
    <row r="43" spans="1:61">
      <c r="A43" s="73" t="s">
        <v>202</v>
      </c>
      <c r="Q43" s="57">
        <v>23</v>
      </c>
      <c r="R43" s="57">
        <v>24</v>
      </c>
      <c r="S43" s="57">
        <v>26</v>
      </c>
      <c r="T43" s="57">
        <v>27</v>
      </c>
      <c r="U43" s="57">
        <v>28</v>
      </c>
      <c r="Y43" s="57">
        <v>33</v>
      </c>
      <c r="Z43" s="57">
        <v>34</v>
      </c>
      <c r="AA43" s="57">
        <v>35</v>
      </c>
      <c r="AB43" s="57">
        <v>36</v>
      </c>
      <c r="AC43" s="57">
        <v>37</v>
      </c>
    </row>
    <row r="44" spans="1:61">
      <c r="A44" s="73" t="s">
        <v>219</v>
      </c>
      <c r="Q44" s="57">
        <v>19</v>
      </c>
      <c r="R44" s="57">
        <v>20</v>
      </c>
      <c r="S44" s="57">
        <v>20</v>
      </c>
      <c r="T44" s="57">
        <v>22</v>
      </c>
      <c r="U44" s="57">
        <v>23</v>
      </c>
      <c r="Y44" s="57">
        <v>21</v>
      </c>
      <c r="Z44" s="57">
        <v>21</v>
      </c>
      <c r="AA44" s="57">
        <v>22</v>
      </c>
      <c r="AB44" s="57">
        <v>23</v>
      </c>
      <c r="AC44" s="57">
        <v>24</v>
      </c>
    </row>
    <row r="45" spans="1:61">
      <c r="A45" s="73" t="s">
        <v>220</v>
      </c>
      <c r="Q45" s="57">
        <v>0.5</v>
      </c>
      <c r="R45" s="57">
        <v>0.5</v>
      </c>
      <c r="S45" s="57">
        <v>0.5</v>
      </c>
      <c r="T45" s="57">
        <v>0.5</v>
      </c>
      <c r="U45" s="57">
        <v>0.5</v>
      </c>
      <c r="V45" s="57">
        <v>0.5</v>
      </c>
      <c r="W45" s="57">
        <v>0.5</v>
      </c>
      <c r="X45" s="57">
        <v>0.5</v>
      </c>
      <c r="Y45" s="57">
        <v>0.5</v>
      </c>
      <c r="Z45" s="57">
        <v>0.5</v>
      </c>
      <c r="AA45" s="57">
        <v>0.5</v>
      </c>
      <c r="AB45" s="57">
        <v>0.5</v>
      </c>
      <c r="AC45" s="57">
        <v>0.5</v>
      </c>
      <c r="AD45" s="57">
        <v>0.5</v>
      </c>
      <c r="AE45" s="57">
        <v>0.5</v>
      </c>
      <c r="AF45" s="57">
        <v>0.5</v>
      </c>
      <c r="AG45" s="57">
        <v>0.5</v>
      </c>
      <c r="AH45" s="57">
        <v>0.5</v>
      </c>
      <c r="AI45" s="57">
        <v>0.5</v>
      </c>
      <c r="AJ45" s="57">
        <v>0.5</v>
      </c>
      <c r="AK45" s="57">
        <v>0.5</v>
      </c>
      <c r="AL45" s="57">
        <v>0.5</v>
      </c>
      <c r="AM45" s="57">
        <v>0.5</v>
      </c>
      <c r="AN45" s="57">
        <v>0.5</v>
      </c>
      <c r="AO45" s="57">
        <v>0.5</v>
      </c>
      <c r="AP45" s="57">
        <v>0.5</v>
      </c>
      <c r="AQ45" s="57">
        <v>0.5</v>
      </c>
      <c r="AR45" s="57">
        <v>0.5</v>
      </c>
      <c r="AS45" s="57">
        <v>0.5</v>
      </c>
      <c r="AT45" s="57">
        <v>0.5</v>
      </c>
      <c r="AU45" s="57">
        <v>0.5</v>
      </c>
      <c r="AV45" s="57">
        <v>0.5</v>
      </c>
      <c r="AW45" s="57">
        <v>0.5</v>
      </c>
      <c r="AX45" s="57">
        <v>0.5</v>
      </c>
      <c r="AY45" s="57">
        <v>0.5</v>
      </c>
      <c r="AZ45" s="57">
        <v>0.5</v>
      </c>
      <c r="BA45" s="57">
        <v>0.5</v>
      </c>
      <c r="BB45" s="57">
        <v>0.5</v>
      </c>
      <c r="BC45" s="57">
        <v>0.5</v>
      </c>
      <c r="BD45" s="57">
        <v>0.5</v>
      </c>
      <c r="BE45" s="57">
        <v>0.5</v>
      </c>
      <c r="BF45" s="57">
        <v>0.5</v>
      </c>
      <c r="BG45" s="57">
        <v>0.5</v>
      </c>
      <c r="BH45" s="57">
        <v>0.5</v>
      </c>
      <c r="BI45" s="57">
        <v>0.5</v>
      </c>
    </row>
    <row r="46" spans="1:61">
      <c r="A46" s="73" t="s">
        <v>221</v>
      </c>
      <c r="Q46" s="57">
        <v>23</v>
      </c>
      <c r="R46" s="57">
        <v>24</v>
      </c>
      <c r="S46" s="57">
        <v>26</v>
      </c>
      <c r="T46" s="57">
        <v>27</v>
      </c>
      <c r="U46" s="57">
        <v>28</v>
      </c>
      <c r="Y46" s="57">
        <v>33</v>
      </c>
      <c r="Z46" s="57">
        <v>34</v>
      </c>
      <c r="AA46" s="57">
        <v>35</v>
      </c>
      <c r="AB46" s="57">
        <v>36</v>
      </c>
      <c r="AC46" s="57">
        <v>37</v>
      </c>
    </row>
    <row r="47" spans="1:61">
      <c r="A47" s="73" t="s">
        <v>203</v>
      </c>
      <c r="R47" s="57">
        <v>21</v>
      </c>
      <c r="S47" s="57">
        <v>22</v>
      </c>
      <c r="T47" s="57">
        <v>23</v>
      </c>
      <c r="U47" s="57">
        <v>24</v>
      </c>
      <c r="Y47" s="57">
        <v>25</v>
      </c>
      <c r="Z47" s="57">
        <v>26</v>
      </c>
      <c r="AA47" s="57">
        <v>27</v>
      </c>
      <c r="AB47" s="57">
        <v>28</v>
      </c>
      <c r="AC47" s="57">
        <v>29</v>
      </c>
    </row>
    <row r="48" spans="1:61">
      <c r="A48" s="73" t="s">
        <v>204</v>
      </c>
      <c r="R48" s="57">
        <v>28</v>
      </c>
      <c r="S48" s="57">
        <v>29</v>
      </c>
      <c r="T48" s="57">
        <v>32</v>
      </c>
      <c r="U48" s="57">
        <v>33</v>
      </c>
      <c r="Y48" s="57">
        <v>38</v>
      </c>
      <c r="Z48" s="57">
        <v>39</v>
      </c>
      <c r="AA48" s="57">
        <v>41</v>
      </c>
      <c r="AB48" s="57">
        <v>42</v>
      </c>
      <c r="AC48" s="57">
        <v>44</v>
      </c>
    </row>
    <row r="49" spans="1:61">
      <c r="A49" s="73" t="s">
        <v>205</v>
      </c>
      <c r="R49" s="57">
        <v>28</v>
      </c>
      <c r="S49" s="57">
        <v>29</v>
      </c>
      <c r="T49" s="57">
        <v>32</v>
      </c>
      <c r="U49" s="57">
        <v>33</v>
      </c>
      <c r="Y49" s="57">
        <v>38</v>
      </c>
      <c r="Z49" s="57">
        <v>39</v>
      </c>
      <c r="AA49" s="57">
        <v>41</v>
      </c>
      <c r="AB49" s="57">
        <v>42</v>
      </c>
      <c r="AC49" s="57">
        <v>44</v>
      </c>
    </row>
    <row r="50" spans="1:61">
      <c r="A50" s="73" t="s">
        <v>206</v>
      </c>
      <c r="R50" s="57">
        <v>29</v>
      </c>
      <c r="S50" s="57">
        <v>30</v>
      </c>
      <c r="T50" s="57">
        <v>31</v>
      </c>
      <c r="U50" s="57">
        <v>33</v>
      </c>
      <c r="Y50" s="57">
        <v>38</v>
      </c>
      <c r="Z50" s="57">
        <v>39</v>
      </c>
      <c r="AA50" s="57">
        <v>40</v>
      </c>
      <c r="AB50" s="57">
        <v>42</v>
      </c>
      <c r="AC50" s="57">
        <v>43</v>
      </c>
    </row>
    <row r="51" spans="1:61">
      <c r="A51" s="73" t="s">
        <v>207</v>
      </c>
      <c r="S51" s="57">
        <v>21</v>
      </c>
      <c r="T51" s="57">
        <v>22</v>
      </c>
      <c r="U51" s="57">
        <v>23</v>
      </c>
      <c r="Y51" s="57">
        <v>27</v>
      </c>
      <c r="Z51" s="57">
        <v>28</v>
      </c>
      <c r="AA51" s="57">
        <v>29</v>
      </c>
      <c r="AB51" s="57">
        <v>30</v>
      </c>
      <c r="AC51" s="57">
        <v>31</v>
      </c>
    </row>
    <row r="52" spans="1:61">
      <c r="A52" s="73" t="s">
        <v>208</v>
      </c>
      <c r="T52" s="57">
        <v>27</v>
      </c>
      <c r="U52" s="57">
        <v>29</v>
      </c>
      <c r="Y52" s="57">
        <v>31</v>
      </c>
      <c r="Z52" s="57">
        <v>32</v>
      </c>
      <c r="AA52" s="57">
        <v>33</v>
      </c>
      <c r="AB52" s="57">
        <v>34</v>
      </c>
      <c r="AC52" s="57">
        <v>35</v>
      </c>
    </row>
    <row r="53" spans="1:61">
      <c r="A53" s="73" t="s">
        <v>209</v>
      </c>
      <c r="T53" s="57">
        <v>27</v>
      </c>
      <c r="U53" s="57">
        <v>29</v>
      </c>
      <c r="Y53" s="57">
        <v>31</v>
      </c>
      <c r="Z53" s="57">
        <v>32</v>
      </c>
      <c r="AA53" s="57">
        <v>33</v>
      </c>
      <c r="AB53" s="57">
        <v>34</v>
      </c>
      <c r="AC53" s="57">
        <v>35</v>
      </c>
    </row>
    <row r="54" spans="1:61">
      <c r="A54" s="73" t="s">
        <v>210</v>
      </c>
      <c r="T54" s="57">
        <v>0.5</v>
      </c>
      <c r="U54" s="57">
        <v>0.5</v>
      </c>
      <c r="V54" s="57">
        <v>0.5</v>
      </c>
      <c r="W54" s="57">
        <v>0.5</v>
      </c>
      <c r="X54" s="57">
        <v>0.5</v>
      </c>
      <c r="Y54" s="57">
        <v>0.5</v>
      </c>
      <c r="Z54" s="57">
        <v>0.5</v>
      </c>
      <c r="AA54" s="57">
        <v>0.5</v>
      </c>
      <c r="AB54" s="57">
        <v>0.5</v>
      </c>
      <c r="AC54" s="57">
        <v>0.5</v>
      </c>
      <c r="AD54" s="57">
        <v>0.5</v>
      </c>
      <c r="AE54" s="57">
        <v>0.5</v>
      </c>
      <c r="AF54" s="57">
        <v>0.5</v>
      </c>
      <c r="AG54" s="57">
        <v>0.5</v>
      </c>
      <c r="AH54" s="57">
        <v>0.5</v>
      </c>
      <c r="AI54" s="57">
        <v>0.5</v>
      </c>
      <c r="AJ54" s="57">
        <v>0.5</v>
      </c>
      <c r="AK54" s="57">
        <v>0.5</v>
      </c>
      <c r="AL54" s="57">
        <v>0.5</v>
      </c>
      <c r="AM54" s="57">
        <v>0.5</v>
      </c>
      <c r="AN54" s="57">
        <v>0.5</v>
      </c>
      <c r="AO54" s="57">
        <v>0.5</v>
      </c>
      <c r="AP54" s="57">
        <v>0.5</v>
      </c>
      <c r="AQ54" s="57">
        <v>0.5</v>
      </c>
      <c r="AR54" s="57">
        <v>0.5</v>
      </c>
      <c r="AS54" s="57">
        <v>0.5</v>
      </c>
      <c r="AT54" s="57">
        <v>0.5</v>
      </c>
      <c r="AU54" s="57">
        <v>0.5</v>
      </c>
      <c r="AV54" s="57">
        <v>0.5</v>
      </c>
      <c r="AW54" s="57">
        <v>0.5</v>
      </c>
      <c r="AX54" s="57">
        <v>0.5</v>
      </c>
      <c r="AY54" s="57">
        <v>0.5</v>
      </c>
      <c r="AZ54" s="57">
        <v>0.5</v>
      </c>
      <c r="BA54" s="57">
        <v>0.5</v>
      </c>
      <c r="BB54" s="57">
        <v>0.5</v>
      </c>
      <c r="BC54" s="57">
        <v>0.5</v>
      </c>
      <c r="BD54" s="57">
        <v>0.5</v>
      </c>
      <c r="BE54" s="57">
        <v>0.5</v>
      </c>
      <c r="BF54" s="57">
        <v>0.5</v>
      </c>
      <c r="BG54" s="57">
        <v>0.5</v>
      </c>
      <c r="BH54" s="57">
        <v>0.5</v>
      </c>
      <c r="BI54" s="57">
        <v>0.5</v>
      </c>
    </row>
    <row r="55" spans="1:61">
      <c r="A55" s="73" t="s">
        <v>211</v>
      </c>
      <c r="T55" s="57">
        <v>27</v>
      </c>
      <c r="U55" s="57">
        <v>28</v>
      </c>
      <c r="Y55" s="57">
        <v>33</v>
      </c>
      <c r="Z55" s="57">
        <v>34</v>
      </c>
      <c r="AA55" s="57">
        <v>35</v>
      </c>
      <c r="AB55" s="57">
        <v>36</v>
      </c>
      <c r="AC55" s="57">
        <v>37</v>
      </c>
    </row>
    <row r="56" spans="1:61">
      <c r="A56" s="73" t="s">
        <v>212</v>
      </c>
      <c r="T56" s="57">
        <v>19</v>
      </c>
      <c r="U56" s="57">
        <v>19</v>
      </c>
      <c r="Y56" s="57">
        <v>32</v>
      </c>
      <c r="Z56" s="57">
        <v>34</v>
      </c>
      <c r="AA56" s="57">
        <v>36</v>
      </c>
      <c r="AB56" s="57">
        <v>36</v>
      </c>
      <c r="AC56" s="57">
        <v>38</v>
      </c>
    </row>
    <row r="57" spans="1:61">
      <c r="A57" s="73" t="s">
        <v>213</v>
      </c>
      <c r="T57" s="57">
        <v>0.5</v>
      </c>
      <c r="U57" s="57">
        <v>0.5</v>
      </c>
      <c r="V57" s="57">
        <v>0.5</v>
      </c>
      <c r="W57" s="57">
        <v>0.5</v>
      </c>
      <c r="X57" s="57">
        <v>0.5</v>
      </c>
      <c r="Y57" s="57">
        <v>0.5</v>
      </c>
      <c r="Z57" s="57">
        <v>0.5</v>
      </c>
      <c r="AA57" s="57">
        <v>0.5</v>
      </c>
      <c r="AB57" s="57">
        <v>0.5</v>
      </c>
      <c r="AC57" s="57">
        <v>0.5</v>
      </c>
      <c r="AD57" s="57">
        <v>0.5</v>
      </c>
      <c r="AE57" s="57">
        <v>0.5</v>
      </c>
      <c r="AF57" s="57">
        <v>0.5</v>
      </c>
      <c r="AG57" s="57">
        <v>0.5</v>
      </c>
      <c r="AH57" s="57">
        <v>0.5</v>
      </c>
      <c r="AI57" s="57">
        <v>0.5</v>
      </c>
      <c r="AJ57" s="57">
        <v>0.5</v>
      </c>
      <c r="AK57" s="57">
        <v>0.5</v>
      </c>
      <c r="AL57" s="57">
        <v>0.5</v>
      </c>
      <c r="AM57" s="57">
        <v>0.5</v>
      </c>
      <c r="AN57" s="57">
        <v>0.5</v>
      </c>
      <c r="AO57" s="57">
        <v>0.5</v>
      </c>
      <c r="AP57" s="57">
        <v>0.5</v>
      </c>
      <c r="AQ57" s="57">
        <v>0.5</v>
      </c>
      <c r="AR57" s="57">
        <v>0.5</v>
      </c>
      <c r="AS57" s="57">
        <v>0.5</v>
      </c>
      <c r="AT57" s="57">
        <v>0.5</v>
      </c>
      <c r="AU57" s="57">
        <v>0.5</v>
      </c>
      <c r="AV57" s="57">
        <v>0.5</v>
      </c>
      <c r="AW57" s="57">
        <v>0.5</v>
      </c>
      <c r="AX57" s="57">
        <v>0.5</v>
      </c>
      <c r="AY57" s="57">
        <v>0.5</v>
      </c>
      <c r="AZ57" s="57">
        <v>0.5</v>
      </c>
      <c r="BA57" s="57">
        <v>0.5</v>
      </c>
      <c r="BB57" s="57">
        <v>0.5</v>
      </c>
      <c r="BC57" s="57">
        <v>0.5</v>
      </c>
      <c r="BD57" s="57">
        <v>0.5</v>
      </c>
      <c r="BE57" s="57">
        <v>0.5</v>
      </c>
      <c r="BF57" s="57">
        <v>0.5</v>
      </c>
      <c r="BG57" s="57">
        <v>0.5</v>
      </c>
      <c r="BH57" s="57">
        <v>0.5</v>
      </c>
      <c r="BI57" s="57">
        <v>0.5</v>
      </c>
    </row>
    <row r="58" spans="1:61">
      <c r="A58" s="73" t="s">
        <v>214</v>
      </c>
      <c r="T58" s="57">
        <v>27</v>
      </c>
      <c r="U58" s="57">
        <v>28</v>
      </c>
      <c r="Y58" s="57">
        <v>33</v>
      </c>
      <c r="Z58" s="57">
        <v>34</v>
      </c>
      <c r="AA58" s="57">
        <v>35</v>
      </c>
      <c r="AB58" s="57">
        <v>36</v>
      </c>
      <c r="AC58" s="57">
        <v>37</v>
      </c>
    </row>
    <row r="59" spans="1:61">
      <c r="A59" s="73" t="s">
        <v>215</v>
      </c>
      <c r="Y59" s="57">
        <v>15</v>
      </c>
      <c r="Z59" s="57">
        <v>16</v>
      </c>
      <c r="AA59" s="57">
        <v>16.5</v>
      </c>
      <c r="AB59" s="57">
        <v>17</v>
      </c>
      <c r="AC59" s="57">
        <v>17.5</v>
      </c>
    </row>
    <row r="60" spans="1:61">
      <c r="A60" s="73" t="s">
        <v>216</v>
      </c>
      <c r="Y60" s="57">
        <v>15</v>
      </c>
      <c r="Z60" s="57">
        <v>16</v>
      </c>
      <c r="AA60" s="57">
        <v>16.5</v>
      </c>
      <c r="AB60" s="57">
        <v>17</v>
      </c>
      <c r="AC60" s="57">
        <v>17.5</v>
      </c>
    </row>
    <row r="61" spans="1:61">
      <c r="A61" s="73" t="s">
        <v>217</v>
      </c>
      <c r="Y61" s="57">
        <v>57</v>
      </c>
      <c r="Z61" s="57">
        <v>59</v>
      </c>
      <c r="AA61" s="57">
        <v>60</v>
      </c>
      <c r="AB61" s="57">
        <v>63</v>
      </c>
      <c r="AC61" s="57">
        <v>65</v>
      </c>
    </row>
    <row r="62" spans="1:61">
      <c r="A62" s="73" t="s">
        <v>218</v>
      </c>
      <c r="Y62" s="57">
        <v>33</v>
      </c>
      <c r="Z62" s="57">
        <v>34</v>
      </c>
      <c r="AA62" s="57">
        <v>35</v>
      </c>
      <c r="AB62" s="57">
        <v>36</v>
      </c>
      <c r="AC62" s="57">
        <v>37</v>
      </c>
    </row>
    <row r="63" spans="1:61">
      <c r="A63" s="73" t="s">
        <v>226</v>
      </c>
      <c r="Z63" s="57">
        <v>58</v>
      </c>
      <c r="AA63" s="57">
        <v>60</v>
      </c>
      <c r="AB63" s="57">
        <v>62</v>
      </c>
      <c r="AC63" s="57">
        <v>64</v>
      </c>
    </row>
    <row r="64" spans="1:61">
      <c r="A64" s="73" t="s">
        <v>227</v>
      </c>
      <c r="Z64" s="57">
        <v>1</v>
      </c>
      <c r="AA64" s="57">
        <v>1</v>
      </c>
      <c r="AB64" s="57">
        <v>1</v>
      </c>
      <c r="AC64" s="57">
        <v>1</v>
      </c>
    </row>
    <row r="65" spans="1:29">
      <c r="A65" s="73" t="s">
        <v>228</v>
      </c>
      <c r="Z65" s="57">
        <v>34</v>
      </c>
      <c r="AA65" s="57">
        <v>35</v>
      </c>
      <c r="AB65" s="57">
        <v>36</v>
      </c>
      <c r="AC65" s="57">
        <v>37</v>
      </c>
    </row>
  </sheetData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70AF6FF486004C80E060716F2A3813" ma:contentTypeVersion="0" ma:contentTypeDescription="Create a new document." ma:contentTypeScope="" ma:versionID="0d0529b9c00d851f875067f7cc6e630a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EAC2BE0-17AA-4BF7-B556-0227BCECAB60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5CCC68C-4863-4D0F-A435-7CF1FE84D5E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BE5A116-D41E-40E6-B28A-9C6599D962B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B58ED0E-B346-463B-A299-48631A522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81</vt:i4>
      </vt:variant>
    </vt:vector>
  </HeadingPairs>
  <TitlesOfParts>
    <vt:vector size="85" baseType="lpstr">
      <vt:lpstr>Gambit Comparison Sheet</vt:lpstr>
      <vt:lpstr>Traits</vt:lpstr>
      <vt:lpstr>Instructions</vt:lpstr>
      <vt:lpstr>LvlData</vt:lpstr>
      <vt:lpstr>AKeenResponse</vt:lpstr>
      <vt:lpstr>BrinkofVictoryDD</vt:lpstr>
      <vt:lpstr>BrinkofVictoryDoT</vt:lpstr>
      <vt:lpstr>BrinkofVictoryPwr</vt:lpstr>
      <vt:lpstr>BrinkofVictoryT</vt:lpstr>
      <vt:lpstr>CombStrikeDD</vt:lpstr>
      <vt:lpstr>CombStrikePwr</vt:lpstr>
      <vt:lpstr>CombStrikeT</vt:lpstr>
      <vt:lpstr>Confidence</vt:lpstr>
      <vt:lpstr>DefensiveStrikeDD</vt:lpstr>
      <vt:lpstr>DefensiveStrikePwr</vt:lpstr>
      <vt:lpstr>DeftStrikeDD</vt:lpstr>
      <vt:lpstr>DeftStrikePwr</vt:lpstr>
      <vt:lpstr>EfficientShieldwork</vt:lpstr>
      <vt:lpstr>EfficientThrust</vt:lpstr>
      <vt:lpstr>FierceResolveDoT</vt:lpstr>
      <vt:lpstr>FierceResolveHoT</vt:lpstr>
      <vt:lpstr>FierceResolvePwr</vt:lpstr>
      <vt:lpstr>GoadDD</vt:lpstr>
      <vt:lpstr>GoadDoT</vt:lpstr>
      <vt:lpstr>GoadPwr</vt:lpstr>
      <vt:lpstr>GoadT</vt:lpstr>
      <vt:lpstr>GoadToT</vt:lpstr>
      <vt:lpstr>ImpFlourishDD</vt:lpstr>
      <vt:lpstr>ImpFlourishDoT</vt:lpstr>
      <vt:lpstr>ImpFlourishH</vt:lpstr>
      <vt:lpstr>ImpFlourishHoT</vt:lpstr>
      <vt:lpstr>ImpFlourishPwr</vt:lpstr>
      <vt:lpstr>Level</vt:lpstr>
      <vt:lpstr>LevelList</vt:lpstr>
      <vt:lpstr>MadStrikeDD</vt:lpstr>
      <vt:lpstr>MadStrikePwr</vt:lpstr>
      <vt:lpstr>MadStrikeT</vt:lpstr>
      <vt:lpstr>MainHandDmg</vt:lpstr>
      <vt:lpstr>NeverSayDie</vt:lpstr>
      <vt:lpstr>OffensiveStrikePwr</vt:lpstr>
      <vt:lpstr>OffensiveStrikeT</vt:lpstr>
      <vt:lpstr>OnslaughtPwr</vt:lpstr>
      <vt:lpstr>Perserverance</vt:lpstr>
      <vt:lpstr>PersevereDD</vt:lpstr>
      <vt:lpstr>PersevereH</vt:lpstr>
      <vt:lpstr>PersevereHoT</vt:lpstr>
      <vt:lpstr>PerseverePwr</vt:lpstr>
      <vt:lpstr>PiercingStrikeDD</vt:lpstr>
      <vt:lpstr>PiercingStrikePwr</vt:lpstr>
      <vt:lpstr>PiercingStrikeT</vt:lpstr>
      <vt:lpstr>PowerAttackDD</vt:lpstr>
      <vt:lpstr>PowerAttackDoT</vt:lpstr>
      <vt:lpstr>PowerAttackPwr</vt:lpstr>
      <vt:lpstr>PreciseBlowDD</vt:lpstr>
      <vt:lpstr>PreciseBlowPwr</vt:lpstr>
      <vt:lpstr>PreciseBlowT</vt:lpstr>
      <vt:lpstr>PreciseBlowToT</vt:lpstr>
      <vt:lpstr>QuickThrustPwr</vt:lpstr>
      <vt:lpstr>SafeguardDD</vt:lpstr>
      <vt:lpstr>SafeguardH</vt:lpstr>
      <vt:lpstr>SafeguardHoT</vt:lpstr>
      <vt:lpstr>SafeguardPwr</vt:lpstr>
      <vt:lpstr>ShieldBashDD</vt:lpstr>
      <vt:lpstr>ShieldBashPwr</vt:lpstr>
      <vt:lpstr>ShieldUpPwr</vt:lpstr>
      <vt:lpstr>TerribleVisage</vt:lpstr>
      <vt:lpstr>TheBootDD</vt:lpstr>
      <vt:lpstr>TheBootPwr</vt:lpstr>
      <vt:lpstr>Veteran</vt:lpstr>
      <vt:lpstr>WarCryDoT</vt:lpstr>
      <vt:lpstr>WarCryH</vt:lpstr>
      <vt:lpstr>WarCryHoT</vt:lpstr>
      <vt:lpstr>WarCryPwr</vt:lpstr>
      <vt:lpstr>WarCryT</vt:lpstr>
      <vt:lpstr>WarCryToT</vt:lpstr>
      <vt:lpstr>WardensTauntDD</vt:lpstr>
      <vt:lpstr>WardensTauntDoT</vt:lpstr>
      <vt:lpstr>WardensTauntPwr</vt:lpstr>
      <vt:lpstr>WardensTauntT</vt:lpstr>
      <vt:lpstr>WayoftheFist2</vt:lpstr>
      <vt:lpstr>WayoftheFist3</vt:lpstr>
      <vt:lpstr>WayoftheFist4</vt:lpstr>
      <vt:lpstr>WayoftheShield4</vt:lpstr>
      <vt:lpstr>WayoftheSpear2</vt:lpstr>
      <vt:lpstr>WayoftheSpear4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Locke</dc:creator>
  <cp:lastModifiedBy>Will Locke</cp:lastModifiedBy>
  <dcterms:created xsi:type="dcterms:W3CDTF">2009-01-23T07:50:41Z</dcterms:created>
  <dcterms:modified xsi:type="dcterms:W3CDTF">2010-09-21T15:22:08Z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CopySource">
    <vt:lpwstr>http://www.tarmenel.com/lotro/Documents/Warden Gambit Comparison Sheet.xls</vt:lpwstr>
  </property>
  <property fmtid="{D5CDD505-2E9C-101B-9397-08002B2CF9AE}" pid="3" name="Order">
    <vt:lpwstr>1300.00000000000</vt:lpwstr>
  </property>
  <property fmtid="{D5CDD505-2E9C-101B-9397-08002B2CF9AE}" pid="4" name="TemplateUrl">
    <vt:lpwstr/>
  </property>
  <property fmtid="{D5CDD505-2E9C-101B-9397-08002B2CF9AE}" pid="5" name="xd_ProgID">
    <vt:lpwstr/>
  </property>
  <property fmtid="{D5CDD505-2E9C-101B-9397-08002B2CF9AE}" pid="6" name="_SourceUrl">
    <vt:lpwstr/>
  </property>
</Properties>
</file>